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AO 2025\1. AO 2026\AO CFR\AO HZ-01-2026-CFR TRAVAUX RP 2030\VERSION FINAL\"/>
    </mc:Choice>
  </mc:AlternateContent>
  <bookViews>
    <workbookView xWindow="0" yWindow="0" windowWidth="28800" windowHeight="12315" tabRatio="777" firstSheet="3" activeTab="3"/>
  </bookViews>
  <sheets>
    <sheet name="Métré" sheetId="18" state="hidden" r:id="rId1"/>
    <sheet name="Buse D1000" sheetId="24" state="hidden" r:id="rId2"/>
    <sheet name="Feuil2" sheetId="27" state="hidden" r:id="rId3"/>
    <sheet name="BPDE" sheetId="30" r:id="rId4"/>
    <sheet name="BRD prix  (2)" sheetId="25" state="hidden" r:id="rId5"/>
    <sheet name="BRD prix " sheetId="28" state="hidden" r:id="rId6"/>
    <sheet name="Chaussée (2)" sheetId="29" state="hidden" r:id="rId7"/>
  </sheets>
  <definedNames>
    <definedName name="_GoBack" localSheetId="3">BPDE!$D$7</definedName>
    <definedName name="_GoBack" localSheetId="5">'BRD prix '!$D$7</definedName>
    <definedName name="_GoBack" localSheetId="4">'BRD prix  (2)'!$D$7</definedName>
    <definedName name="_xlnm.Print_Area" localSheetId="3">BPDE!$A$1:$F$31</definedName>
    <definedName name="_xlnm.Print_Area" localSheetId="5">'BRD prix '!$A$1:$F$46</definedName>
    <definedName name="_xlnm.Print_Area" localSheetId="4">'BRD prix  (2)'!$A$1:$F$39</definedName>
    <definedName name="_xlnm.Print_Area" localSheetId="1">'Buse D1000'!$A$1:$H$27</definedName>
    <definedName name="_xlnm.Print_Area" localSheetId="6">'Chaussée (2)'!$A$1:$I$32</definedName>
    <definedName name="_xlnm.Print_Area" localSheetId="0">Métré!$A$1:$I$93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30" l="1"/>
  <c r="F22" i="30"/>
  <c r="F21" i="30"/>
  <c r="F20" i="30"/>
  <c r="F28" i="30"/>
  <c r="F18" i="30"/>
  <c r="F12" i="30"/>
  <c r="F26" i="30"/>
  <c r="F25" i="30"/>
  <c r="F7" i="30"/>
  <c r="F6" i="30"/>
  <c r="F5" i="30"/>
  <c r="F16" i="30"/>
  <c r="F14" i="30" l="1"/>
  <c r="F19" i="30"/>
  <c r="F13" i="30"/>
  <c r="F11" i="30"/>
  <c r="E87" i="18"/>
  <c r="B14" i="18"/>
  <c r="F24" i="24"/>
  <c r="F25" i="24"/>
  <c r="F23" i="24"/>
  <c r="C26" i="24"/>
  <c r="F26" i="24" s="1"/>
  <c r="F17" i="30" l="1"/>
  <c r="F10" i="30"/>
  <c r="F9" i="30"/>
  <c r="F15" i="30"/>
  <c r="M18" i="29"/>
  <c r="G32" i="29"/>
  <c r="E32" i="29"/>
  <c r="H25" i="29"/>
  <c r="H26" i="29" s="1"/>
  <c r="H28" i="29" s="1"/>
  <c r="F30" i="29" s="1"/>
  <c r="F32" i="29" s="1"/>
  <c r="H20" i="29"/>
  <c r="H21" i="29" s="1"/>
  <c r="H23" i="29" s="1"/>
  <c r="I19" i="29" s="1"/>
  <c r="D30" i="29" s="1"/>
  <c r="D32" i="29" s="1"/>
  <c r="F17" i="29"/>
  <c r="H17" i="29" s="1"/>
  <c r="I17" i="29" s="1"/>
  <c r="H15" i="29"/>
  <c r="I15" i="29" s="1"/>
  <c r="H14" i="29"/>
  <c r="I14" i="29" s="1"/>
  <c r="H13" i="29"/>
  <c r="I13" i="29" s="1"/>
  <c r="H12" i="29"/>
  <c r="I12" i="29" s="1"/>
  <c r="H10" i="29"/>
  <c r="I10" i="29" s="1"/>
  <c r="F9" i="29"/>
  <c r="H9" i="29" s="1"/>
  <c r="I9" i="29" s="1"/>
  <c r="H8" i="29"/>
  <c r="I8" i="29" s="1"/>
  <c r="H7" i="29"/>
  <c r="I7" i="29" s="1"/>
  <c r="H6" i="29"/>
  <c r="I6" i="29" s="1"/>
  <c r="F29" i="30" l="1"/>
  <c r="N18" i="29"/>
  <c r="H32" i="29"/>
  <c r="I29" i="29" s="1"/>
  <c r="I24" i="29"/>
  <c r="B33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F35" i="18"/>
  <c r="H35" i="18" s="1"/>
  <c r="I34" i="18" s="1"/>
  <c r="D17" i="28" s="1"/>
  <c r="H39" i="18"/>
  <c r="I38" i="18" s="1"/>
  <c r="D18" i="28" s="1"/>
  <c r="H29" i="18"/>
  <c r="I28" i="18" s="1"/>
  <c r="H26" i="18"/>
  <c r="I25" i="18" s="1"/>
  <c r="H23" i="18"/>
  <c r="I22" i="18" s="1"/>
  <c r="D13" i="28" s="1"/>
  <c r="H21" i="18"/>
  <c r="H18" i="18"/>
  <c r="I17" i="18" s="1"/>
  <c r="D11" i="28" s="1"/>
  <c r="H15" i="18"/>
  <c r="F30" i="30" l="1"/>
  <c r="F31" i="30" s="1"/>
  <c r="D14" i="28"/>
  <c r="D15" i="28"/>
  <c r="H20" i="27" l="1"/>
  <c r="I20" i="27" s="1"/>
  <c r="J20" i="27" s="1"/>
  <c r="H17" i="27"/>
  <c r="G17" i="27"/>
  <c r="M11" i="27"/>
  <c r="M13" i="27" s="1"/>
  <c r="L11" i="27"/>
  <c r="L13" i="27" s="1"/>
  <c r="K11" i="27"/>
  <c r="K13" i="27" s="1"/>
  <c r="J11" i="27"/>
  <c r="J13" i="27" s="1"/>
  <c r="I11" i="27"/>
  <c r="I13" i="27" s="1"/>
  <c r="H18" i="27" l="1"/>
  <c r="H19" i="27" s="1"/>
  <c r="L14" i="27"/>
  <c r="G61" i="18" l="1"/>
  <c r="E61" i="18"/>
  <c r="H53" i="18"/>
  <c r="H54" i="18" s="1"/>
  <c r="H56" i="18" s="1"/>
  <c r="F59" i="18" s="1"/>
  <c r="H47" i="18"/>
  <c r="H48" i="18" s="1"/>
  <c r="H50" i="18" s="1"/>
  <c r="I46" i="18" s="1"/>
  <c r="D19" i="28" s="1"/>
  <c r="G42" i="18"/>
  <c r="D42" i="18"/>
  <c r="H32" i="18"/>
  <c r="I31" i="18" s="1"/>
  <c r="H20" i="18"/>
  <c r="I19" i="18" s="1"/>
  <c r="I14" i="18"/>
  <c r="D10" i="28" s="1"/>
  <c r="D12" i="28" l="1"/>
  <c r="D16" i="28"/>
  <c r="H43" i="18"/>
  <c r="D59" i="18"/>
  <c r="D61" i="18" s="1"/>
  <c r="I52" i="18"/>
  <c r="D20" i="28" s="1"/>
  <c r="F61" i="18"/>
  <c r="H61" i="18" l="1"/>
  <c r="I58" i="18" s="1"/>
  <c r="D21" i="28" s="1"/>
  <c r="D12" i="25" l="1"/>
  <c r="B15" i="25"/>
  <c r="B14" i="25"/>
  <c r="B13" i="25"/>
  <c r="D11" i="25"/>
  <c r="D10" i="25"/>
  <c r="I67" i="18" l="1"/>
  <c r="D27" i="28" s="1"/>
  <c r="D21" i="25" l="1"/>
  <c r="H84" i="18"/>
  <c r="E90" i="18"/>
  <c r="E78" i="18"/>
  <c r="C21" i="24" l="1"/>
  <c r="G21" i="24" s="1"/>
  <c r="F20" i="24"/>
  <c r="F19" i="24"/>
  <c r="F18" i="24"/>
  <c r="F17" i="24"/>
  <c r="E16" i="24"/>
  <c r="G16" i="24" s="1"/>
  <c r="E15" i="24"/>
  <c r="D15" i="24"/>
  <c r="F12" i="24"/>
  <c r="F11" i="24"/>
  <c r="F10" i="24"/>
  <c r="F6" i="24"/>
  <c r="E5" i="24"/>
  <c r="D5" i="24"/>
  <c r="F3" i="24"/>
  <c r="H3" i="24" s="1"/>
  <c r="F7" i="24" l="1"/>
  <c r="F5" i="24"/>
  <c r="H13" i="24"/>
  <c r="F15" i="24"/>
  <c r="H27" i="24" s="1"/>
  <c r="H8" i="24" l="1"/>
  <c r="I74" i="18"/>
  <c r="I68" i="18" l="1"/>
  <c r="D28" i="28" s="1"/>
  <c r="I64" i="18"/>
  <c r="D24" i="28" s="1"/>
  <c r="D18" i="25" l="1"/>
  <c r="I71" i="18"/>
  <c r="D31" i="28" s="1"/>
  <c r="D22" i="25"/>
  <c r="H93" i="18" l="1"/>
  <c r="I92" i="18" s="1"/>
  <c r="D42" i="28" s="1"/>
  <c r="H90" i="18"/>
  <c r="I89" i="18" s="1"/>
  <c r="D41" i="28" s="1"/>
  <c r="H87" i="18"/>
  <c r="I83" i="18"/>
  <c r="D39" i="28" s="1"/>
  <c r="H81" i="18"/>
  <c r="I80" i="18" s="1"/>
  <c r="D38" i="28" s="1"/>
  <c r="H78" i="18"/>
  <c r="I77" i="18" s="1"/>
  <c r="D37" i="28" s="1"/>
  <c r="H11" i="18"/>
  <c r="I10" i="18" s="1"/>
  <c r="D7" i="28" s="1"/>
  <c r="H9" i="18"/>
  <c r="I8" i="18" s="1"/>
  <c r="H7" i="18"/>
  <c r="I6" i="18" s="1"/>
  <c r="D32" i="25" l="1"/>
  <c r="D30" i="25"/>
  <c r="D34" i="25"/>
  <c r="D31" i="25"/>
  <c r="D35" i="25"/>
  <c r="D7" i="25"/>
  <c r="I66" i="18"/>
  <c r="D26" i="28" s="1"/>
  <c r="I86" i="18"/>
  <c r="D13" i="25" l="1"/>
  <c r="D20" i="25"/>
  <c r="D14" i="25" l="1"/>
  <c r="D15" i="25" l="1"/>
  <c r="D25" i="25" l="1"/>
  <c r="I65" i="18"/>
  <c r="D25" i="28" s="1"/>
  <c r="I69" i="18"/>
  <c r="D19" i="25" l="1"/>
  <c r="I70" i="18" l="1"/>
  <c r="D30" i="28" s="1"/>
  <c r="D24" i="25" l="1"/>
  <c r="I72" i="18" l="1"/>
  <c r="D32" i="28" s="1"/>
  <c r="D26" i="25" l="1"/>
</calcChain>
</file>

<file path=xl/sharedStrings.xml><?xml version="1.0" encoding="utf-8"?>
<sst xmlns="http://schemas.openxmlformats.org/spreadsheetml/2006/main" count="400" uniqueCount="166">
  <si>
    <t>M3</t>
  </si>
  <si>
    <t>T</t>
  </si>
  <si>
    <t>Unité</t>
  </si>
  <si>
    <t>Quantité Totale</t>
  </si>
  <si>
    <t>Démolition des ouvrages hydrauliques existants</t>
  </si>
  <si>
    <t>U</t>
  </si>
  <si>
    <t>Ml</t>
  </si>
  <si>
    <t>Déblais pour fouille</t>
  </si>
  <si>
    <t>Béton B20</t>
  </si>
  <si>
    <t>Enrobage</t>
  </si>
  <si>
    <t>Déduction</t>
  </si>
  <si>
    <t xml:space="preserve">Puisard amont </t>
  </si>
  <si>
    <t>Béton B15</t>
  </si>
  <si>
    <t>ML</t>
  </si>
  <si>
    <t>Nbr</t>
  </si>
  <si>
    <t>Longueur (m)</t>
  </si>
  <si>
    <t>RG</t>
  </si>
  <si>
    <t>RD</t>
  </si>
  <si>
    <t>Hérissonage</t>
  </si>
  <si>
    <t>L</t>
  </si>
  <si>
    <t>l</t>
  </si>
  <si>
    <t>M2</t>
  </si>
  <si>
    <t>Lit de sable</t>
  </si>
  <si>
    <t>Désignation</t>
  </si>
  <si>
    <t>Qté</t>
  </si>
  <si>
    <t xml:space="preserve"> P.U </t>
  </si>
  <si>
    <t xml:space="preserve">P.T </t>
  </si>
  <si>
    <t xml:space="preserve">Installation du chantier                                                                      </t>
  </si>
  <si>
    <t>F</t>
  </si>
  <si>
    <t>Mise en place de la signalisation globale temporaire</t>
  </si>
  <si>
    <t>Maintien de la signalisation globale temporaire</t>
  </si>
  <si>
    <t>FM</t>
  </si>
  <si>
    <t>TOTAL HORS TAXE</t>
  </si>
  <si>
    <t>TOTAL TVA</t>
  </si>
  <si>
    <t>TOTAL TTC</t>
  </si>
  <si>
    <t>curage et recalibrage des fossés</t>
  </si>
  <si>
    <t>N° du Prix</t>
  </si>
  <si>
    <t>Travaux de  prémarquage</t>
  </si>
  <si>
    <t>Marquage axial Bande de 15 cm de large</t>
  </si>
  <si>
    <t xml:space="preserve">Marquage latéral Bande de 15 cm de large </t>
  </si>
  <si>
    <t>Fourniture et pose des yeux de chat</t>
  </si>
  <si>
    <t>Marquage en figurines de deux 2 roues</t>
  </si>
  <si>
    <t>Fourniture et pose des panneaux bande cyclable obligatoire aux cyclistes et cyclomotoristes</t>
  </si>
  <si>
    <t>Avant Métré</t>
  </si>
  <si>
    <t>Prix N°</t>
  </si>
  <si>
    <t>e</t>
  </si>
  <si>
    <t>Quantité Partielle</t>
  </si>
  <si>
    <t>A. Installation de chantier et travaux préparatoires</t>
  </si>
  <si>
    <t>Installation de chantier</t>
  </si>
  <si>
    <t xml:space="preserve">Fourniture et mise en place de la  signalisation globale temporaire </t>
  </si>
  <si>
    <t>Remblais</t>
  </si>
  <si>
    <t>Quantité totale en m3</t>
  </si>
  <si>
    <t>Densité des enrobés</t>
  </si>
  <si>
    <t>Quantité totale en T</t>
  </si>
  <si>
    <t>Quantité des enrobés en T</t>
  </si>
  <si>
    <t>Dosage en liant</t>
  </si>
  <si>
    <t>Quantité du bitume en T</t>
  </si>
  <si>
    <t>20 Tous les 26</t>
  </si>
  <si>
    <t>Tous les 150 m</t>
  </si>
  <si>
    <t>Total Installation de chantier et travaux préparatoires</t>
  </si>
  <si>
    <t>B.      Travaux de chaussée</t>
  </si>
  <si>
    <t>Total Travaux de chaussée</t>
  </si>
  <si>
    <t>Curage et recalibrage des fossés</t>
  </si>
  <si>
    <t>Buse O600</t>
  </si>
  <si>
    <t>curage des buses</t>
  </si>
  <si>
    <t>Voir détail de Calcul</t>
  </si>
  <si>
    <r>
      <t>D.</t>
    </r>
    <r>
      <rPr>
        <b/>
        <sz val="11"/>
        <color theme="1"/>
        <rFont val="Garamond"/>
        <family val="1"/>
      </rPr>
      <t>      Travaux de signalisation</t>
    </r>
  </si>
  <si>
    <t>C.      Travaux d'assainissement</t>
  </si>
  <si>
    <t>Total Travaux d'assainissement</t>
  </si>
  <si>
    <t>Remblais pour fouille</t>
  </si>
  <si>
    <t>Fourniture et pose des panneaux bande cyclable obligatoire aux 2 roues</t>
  </si>
  <si>
    <t xml:space="preserve">Traitement de l’environnement et des ouvrages d’assainissement </t>
  </si>
  <si>
    <t>h</t>
  </si>
  <si>
    <t>corps</t>
  </si>
  <si>
    <t>puisard</t>
  </si>
  <si>
    <t>Puisard amont</t>
  </si>
  <si>
    <t>Corps</t>
  </si>
  <si>
    <t>Déduction Fossé Trapèz</t>
  </si>
  <si>
    <t xml:space="preserve">
Travaux de renforcement et de traitement de l’environnement de la RP2012 du Pk 8+000 au Pk 16+000 sur 8 km
-PROVINCE D’AL HAOUZ-</t>
  </si>
  <si>
    <r>
      <t>B.</t>
    </r>
    <r>
      <rPr>
        <b/>
        <sz val="11"/>
        <color theme="1"/>
        <rFont val="Cambria"/>
        <family val="1"/>
        <scheme val="major"/>
      </rPr>
      <t>  Travaux de chaussée</t>
    </r>
  </si>
  <si>
    <r>
      <t>C.</t>
    </r>
    <r>
      <rPr>
        <b/>
        <sz val="11"/>
        <color theme="1"/>
        <rFont val="Cambria"/>
        <family val="1"/>
        <scheme val="major"/>
      </rPr>
      <t>  Travaux de l’assainissement</t>
    </r>
  </si>
  <si>
    <r>
      <t>D.</t>
    </r>
    <r>
      <rPr>
        <b/>
        <sz val="11"/>
        <color theme="1"/>
        <rFont val="Cambria"/>
        <family val="1"/>
        <scheme val="major"/>
      </rPr>
      <t>   Travaux de signalisation</t>
    </r>
  </si>
  <si>
    <t>Buse O1000</t>
  </si>
  <si>
    <t>Mise en oeuvre du GB2 sur 8 cm d'épaisseur</t>
  </si>
  <si>
    <t>Densité GB2</t>
  </si>
  <si>
    <t>ESTIMATION des Travaux de renforcement et de traitement de l’environnement de la RP2012 
du Pk 8+000 au Pk 16+000 sur 8 km
-PROVINCE D’AL HAOUZ-</t>
  </si>
  <si>
    <t xml:space="preserve">Mise en oeuvre du BBSG 0/10 Classe 1 sur 5 cm d'épaisseur </t>
  </si>
  <si>
    <t>Fourniture Bitume pur 35/50 pour BBGS et GB2</t>
  </si>
  <si>
    <t xml:space="preserve">Reprofilage en BBSG 0/10 </t>
  </si>
  <si>
    <t>Reprofilage en BBSG 0/10</t>
  </si>
  <si>
    <t>+</t>
  </si>
  <si>
    <t>Rechargement des accotements en MS type 2</t>
  </si>
  <si>
    <t>GB2</t>
  </si>
  <si>
    <t>BBSG</t>
  </si>
  <si>
    <t xml:space="preserve">Totale </t>
  </si>
  <si>
    <t>Mise en œuvre de graves non traitées GNF1 0/40</t>
  </si>
  <si>
    <t>Métré des   Travaux de chaussée</t>
  </si>
  <si>
    <t xml:space="preserve">Construction de Saguia d'irrigation </t>
  </si>
  <si>
    <t>Reconstitution d'accotement en remblai ou en déblai</t>
  </si>
  <si>
    <t>Curage des buses</t>
  </si>
  <si>
    <t>Travaux de  prémarquage
Rives latérales et Centrale</t>
  </si>
  <si>
    <t xml:space="preserve">Mise en œuvre de l’imprégnation </t>
  </si>
  <si>
    <t>Mise en œuvre de l’imprégnation  Fourniture de l’émulsion 55</t>
  </si>
  <si>
    <t>Acier</t>
  </si>
  <si>
    <t>T6</t>
  </si>
  <si>
    <t>T8</t>
  </si>
  <si>
    <t>T10</t>
  </si>
  <si>
    <t>T12</t>
  </si>
  <si>
    <t>T14</t>
  </si>
  <si>
    <t>T16</t>
  </si>
  <si>
    <t>T20</t>
  </si>
  <si>
    <t>Poids en Kg/ml</t>
  </si>
  <si>
    <t>0,222</t>
  </si>
  <si>
    <t>Poids en Kg</t>
  </si>
  <si>
    <t>TOTAL POIDS EN KG</t>
  </si>
  <si>
    <t>30</t>
  </si>
  <si>
    <t>=G11*G12</t>
  </si>
  <si>
    <t xml:space="preserve">acier prix </t>
  </si>
  <si>
    <t>beton prix</t>
  </si>
  <si>
    <t>Décaissement d'enrobé existant sur epaisseur de 6cm</t>
  </si>
  <si>
    <t>Décaissement d'épaulement et accotement sur epaisseur  de 11cm</t>
  </si>
  <si>
    <t>Fourniture et mise en œuvre de graves non traitées GNF1 0/40</t>
  </si>
  <si>
    <t xml:space="preserve">Fourniture et mise en œuvre de graves non traitées GNF1 0/40 pour epaulement et accotement </t>
  </si>
  <si>
    <t xml:space="preserve">Fourniture et mise de MS type 2 pour  accotements </t>
  </si>
  <si>
    <t xml:space="preserve">Mise en œuvre de graves non traitées GNB pour les voies cyclables </t>
  </si>
  <si>
    <t xml:space="preserve">Fourniture de l’émulsion 55 </t>
  </si>
  <si>
    <t>Dosage 1,5 kg/m2</t>
  </si>
  <si>
    <t xml:space="preserve">Reconstitution d'accotement en remblai ou en déblai </t>
  </si>
  <si>
    <t xml:space="preserve"> Curage et recalibrage des fossés</t>
  </si>
  <si>
    <t xml:space="preserve">à déduire </t>
  </si>
  <si>
    <t xml:space="preserve">500 FB </t>
  </si>
  <si>
    <t>ml</t>
  </si>
  <si>
    <t>chaussée</t>
  </si>
  <si>
    <t xml:space="preserve">épaulement </t>
  </si>
  <si>
    <t>Mise en œuvre de graves non traitées GNB pour les voies cyclables</t>
  </si>
  <si>
    <t>BDR des Travaux de renforcement et de traitement de l’environnement de la RP2012 
du Pk 8+000 au Pk 16+000 sur 8 km
-PROVINCE D’AL HAOUZ-</t>
  </si>
  <si>
    <t>Fourniture de l’émulsion 55 /Dosage 1,5 kg/m2</t>
  </si>
  <si>
    <t xml:space="preserve">tête avale </t>
  </si>
  <si>
    <t>Parapet tête avale</t>
  </si>
  <si>
    <t>parafouille tête avale</t>
  </si>
  <si>
    <t>radier tête avale</t>
  </si>
  <si>
    <t>ailes tête avale</t>
  </si>
  <si>
    <t>Tous les 52 m</t>
  </si>
  <si>
    <t xml:space="preserve">CONSTRUCTION De Trois  BUSE SIMPLE ENROBE Ø1000 12ML  </t>
  </si>
  <si>
    <r>
      <t>C.</t>
    </r>
    <r>
      <rPr>
        <b/>
        <sz val="11"/>
        <color theme="1"/>
        <rFont val="Calibri"/>
        <family val="2"/>
        <scheme val="minor"/>
      </rPr>
      <t>      Travaux de signalisation</t>
    </r>
  </si>
  <si>
    <t>Mise en œuvre de la GB2 pour couche de base y/c couche d’accrochage</t>
  </si>
  <si>
    <t>Mise en œuvre de BBSG10/14 pour couche de roulement y/c couche d’accrochage</t>
  </si>
  <si>
    <t>Fourniture de bitume 35/50 pour GB2 et pour BBSG1</t>
  </si>
  <si>
    <t>Bordure type T2</t>
  </si>
  <si>
    <t>Mise en œuvre de l’imprégnation</t>
  </si>
  <si>
    <t>Fourniture de l’émulsion à 55%</t>
  </si>
  <si>
    <t>Couche de Fondation GNF1 0/40</t>
  </si>
  <si>
    <t>Déblai en terrain de toute nature</t>
  </si>
  <si>
    <t xml:space="preserve">Béton B20 y/c treillis soudés </t>
  </si>
  <si>
    <t>B.      Travaux de chaussée et environnement</t>
  </si>
  <si>
    <t>Buses D600</t>
  </si>
  <si>
    <t>Buses D1000</t>
  </si>
  <si>
    <r>
      <t>D.</t>
    </r>
    <r>
      <rPr>
        <b/>
        <sz val="11"/>
        <color theme="1"/>
        <rFont val="Calibri"/>
        <family val="2"/>
        <scheme val="minor"/>
      </rPr>
      <t>      Divers</t>
    </r>
  </si>
  <si>
    <t xml:space="preserve">Déplacement des poteaux </t>
  </si>
  <si>
    <t>Regards d'assainissement</t>
  </si>
  <si>
    <t>u</t>
  </si>
  <si>
    <t>Conduite PEHD D400</t>
  </si>
  <si>
    <t>Ouverture du fossé</t>
  </si>
  <si>
    <t>Béton B10</t>
  </si>
  <si>
    <t>Travaux d'élargissement et de  renforcement de la RP2030 
entre Pk 40+450 au Pk 41+510
-PROVINCE D’AL HAOUZ-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</si>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</sst>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_ ;\-#,##0.00\ "/>
    <numFmt numFmtId="165" formatCode="#,##0.000"/>
    <numFmt numFmtId="166" formatCode="0.0"/>
  </numFmts>
  <fonts count="5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2"/>
      <color indexed="8"/>
      <name val="Cambria"/>
      <family val="1"/>
      <scheme val="major"/>
    </font>
    <font>
      <sz val="12"/>
      <color indexed="10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b/>
      <sz val="11"/>
      <color theme="1"/>
      <name val="Garamond"/>
      <family val="1"/>
    </font>
    <font>
      <sz val="11"/>
      <color rgb="FF000000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i/>
      <u/>
      <sz val="11"/>
      <color theme="4"/>
      <name val="Cambria"/>
      <family val="1"/>
      <scheme val="major"/>
    </font>
    <font>
      <b/>
      <u/>
      <sz val="11"/>
      <color rgb="FF000000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i/>
      <u/>
      <sz val="11"/>
      <color rgb="FF000000"/>
      <name val="Cambria"/>
      <family val="1"/>
    </font>
    <font>
      <b/>
      <u/>
      <sz val="12"/>
      <color theme="1"/>
      <name val="Cambria"/>
      <family val="1"/>
    </font>
    <font>
      <sz val="12"/>
      <color rgb="FFFF0000"/>
      <name val="Cambria"/>
      <family val="1"/>
      <scheme val="major"/>
    </font>
    <font>
      <b/>
      <u/>
      <sz val="14"/>
      <color theme="1"/>
      <name val="Cambria"/>
      <family val="1"/>
    </font>
    <font>
      <b/>
      <sz val="14"/>
      <name val="Book Antiqua"/>
      <family val="1"/>
    </font>
    <font>
      <sz val="14"/>
      <name val="Book Antiqua"/>
      <family val="1"/>
    </font>
    <font>
      <sz val="14"/>
      <color theme="1"/>
      <name val="Book Antiqua"/>
      <family val="1"/>
    </font>
    <font>
      <b/>
      <sz val="14"/>
      <color indexed="8"/>
      <name val="Book Antiqua"/>
      <family val="1"/>
    </font>
    <font>
      <sz val="14"/>
      <color indexed="8"/>
      <name val="Book Antiqua"/>
      <family val="1"/>
    </font>
    <font>
      <sz val="14"/>
      <color indexed="10"/>
      <name val="Book Antiqua"/>
      <family val="1"/>
    </font>
    <font>
      <b/>
      <u/>
      <sz val="20"/>
      <color theme="1"/>
      <name val="Cambria"/>
      <family val="1"/>
      <scheme val="major"/>
    </font>
    <font>
      <b/>
      <u/>
      <sz val="16"/>
      <color rgb="FF000000"/>
      <name val="Cambria"/>
      <family val="1"/>
      <scheme val="major"/>
    </font>
    <font>
      <b/>
      <sz val="16"/>
      <color rgb="FF000000"/>
      <name val="Cambria"/>
      <family val="1"/>
      <scheme val="major"/>
    </font>
    <font>
      <b/>
      <sz val="16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1"/>
      <color rgb="FF000000"/>
      <name val="Cambria"/>
      <family val="1"/>
      <scheme val="major"/>
    </font>
    <font>
      <b/>
      <u/>
      <sz val="24"/>
      <color theme="1"/>
      <name val="Cambria"/>
      <family val="1"/>
      <scheme val="major"/>
    </font>
    <font>
      <b/>
      <sz val="18"/>
      <color rgb="FF000000"/>
      <name val="Cambria"/>
      <family val="1"/>
      <scheme val="major"/>
    </font>
    <font>
      <b/>
      <sz val="11"/>
      <color theme="5"/>
      <name val="Cambria"/>
      <family val="1"/>
      <scheme val="major"/>
    </font>
    <font>
      <b/>
      <u/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color rgb="FF000000"/>
      <name val="Cambria"/>
      <family val="1"/>
      <scheme val="major"/>
    </font>
    <font>
      <b/>
      <sz val="10"/>
      <name val="Cambria"/>
      <family val="1"/>
      <scheme val="major"/>
    </font>
    <font>
      <b/>
      <sz val="9"/>
      <color rgb="FF000000"/>
      <name val="Cambria"/>
      <family val="1"/>
      <scheme val="major"/>
    </font>
    <font>
      <b/>
      <sz val="9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</cellStyleXfs>
  <cellXfs count="28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1" applyFont="1" applyBorder="1" applyAlignment="1">
      <alignment horizontal="left" vertical="center" wrapText="1"/>
    </xf>
    <xf numFmtId="2" fontId="3" fillId="0" borderId="0" xfId="0" applyNumberFormat="1" applyFont="1"/>
    <xf numFmtId="0" fontId="14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0" xfId="0" applyNumberFormat="1"/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right" vertical="center"/>
    </xf>
    <xf numFmtId="164" fontId="10" fillId="0" borderId="10" xfId="2" applyNumberFormat="1" applyFont="1" applyBorder="1" applyAlignment="1">
      <alignment horizontal="right" vertical="center" wrapText="1"/>
    </xf>
    <xf numFmtId="164" fontId="10" fillId="4" borderId="13" xfId="2" applyNumberFormat="1" applyFont="1" applyFill="1" applyBorder="1" applyAlignment="1">
      <alignment horizontal="right" vertical="center"/>
    </xf>
    <xf numFmtId="0" fontId="21" fillId="0" borderId="0" xfId="0" applyFont="1"/>
    <xf numFmtId="0" fontId="6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wrapText="1"/>
    </xf>
    <xf numFmtId="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4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/>
    </xf>
    <xf numFmtId="4" fontId="25" fillId="0" borderId="3" xfId="0" applyNumberFormat="1" applyFont="1" applyBorder="1" applyAlignment="1">
      <alignment horizontal="center" vertical="center"/>
    </xf>
    <xf numFmtId="4" fontId="24" fillId="2" borderId="3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6" fillId="0" borderId="3" xfId="0" applyFont="1" applyBorder="1"/>
    <xf numFmtId="4" fontId="26" fillId="0" borderId="3" xfId="0" applyNumberFormat="1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center" indent="1"/>
    </xf>
    <xf numFmtId="0" fontId="25" fillId="0" borderId="3" xfId="0" applyFont="1" applyBorder="1" applyAlignment="1">
      <alignment horizontal="center" vertical="top" wrapText="1"/>
    </xf>
    <xf numFmtId="4" fontId="25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 indent="1"/>
    </xf>
    <xf numFmtId="0" fontId="26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vertical="center"/>
    </xf>
    <xf numFmtId="0" fontId="27" fillId="0" borderId="3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 indent="1"/>
    </xf>
    <xf numFmtId="4" fontId="25" fillId="6" borderId="3" xfId="0" applyNumberFormat="1" applyFont="1" applyFill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top" wrapText="1"/>
    </xf>
    <xf numFmtId="0" fontId="28" fillId="0" borderId="3" xfId="0" applyFont="1" applyBorder="1" applyAlignment="1">
      <alignment horizontal="left" vertical="top" wrapText="1"/>
    </xf>
    <xf numFmtId="2" fontId="25" fillId="0" borderId="3" xfId="0" applyNumberFormat="1" applyFont="1" applyBorder="1" applyAlignment="1">
      <alignment vertical="top" wrapText="1"/>
    </xf>
    <xf numFmtId="4" fontId="29" fillId="0" borderId="3" xfId="0" applyNumberFormat="1" applyFont="1" applyBorder="1" applyAlignment="1">
      <alignment horizontal="center" vertical="center"/>
    </xf>
    <xf numFmtId="2" fontId="0" fillId="0" borderId="0" xfId="0" applyNumberFormat="1" applyAlignment="1">
      <alignment wrapText="1"/>
    </xf>
    <xf numFmtId="0" fontId="13" fillId="0" borderId="5" xfId="0" applyFont="1" applyBorder="1" applyAlignment="1">
      <alignment vertical="center" wrapText="1"/>
    </xf>
    <xf numFmtId="0" fontId="30" fillId="0" borderId="0" xfId="0" applyFont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31" fillId="0" borderId="1" xfId="0" applyNumberFormat="1" applyFont="1" applyBorder="1" applyAlignment="1">
      <alignment horizontal="center" vertical="center" wrapText="1"/>
    </xf>
    <xf numFmtId="0" fontId="34" fillId="0" borderId="0" xfId="0" applyFont="1"/>
    <xf numFmtId="0" fontId="13" fillId="0" borderId="24" xfId="0" applyFont="1" applyBorder="1" applyAlignment="1">
      <alignment horizontal="center" vertical="center" wrapText="1"/>
    </xf>
    <xf numFmtId="2" fontId="13" fillId="0" borderId="24" xfId="0" applyNumberFormat="1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4" fontId="16" fillId="0" borderId="0" xfId="0" applyNumberFormat="1" applyFont="1"/>
    <xf numFmtId="0" fontId="39" fillId="0" borderId="0" xfId="0" applyFont="1"/>
    <xf numFmtId="2" fontId="41" fillId="0" borderId="3" xfId="3" applyNumberFormat="1" applyFont="1" applyBorder="1" applyAlignment="1">
      <alignment horizontal="center" vertical="center"/>
    </xf>
    <xf numFmtId="49" fontId="42" fillId="0" borderId="3" xfId="2" applyNumberFormat="1" applyFont="1" applyBorder="1" applyAlignment="1">
      <alignment horizontal="center" vertical="center"/>
    </xf>
    <xf numFmtId="4" fontId="42" fillId="0" borderId="3" xfId="3" applyNumberFormat="1" applyFont="1" applyBorder="1" applyAlignment="1">
      <alignment horizontal="center" vertical="center"/>
    </xf>
    <xf numFmtId="165" fontId="42" fillId="0" borderId="3" xfId="3" applyNumberFormat="1" applyFont="1" applyBorder="1" applyAlignment="1">
      <alignment horizontal="center" vertical="center"/>
    </xf>
    <xf numFmtId="49" fontId="42" fillId="0" borderId="3" xfId="3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45" fillId="0" borderId="26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2" fontId="45" fillId="0" borderId="26" xfId="0" applyNumberFormat="1" applyFont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2" fontId="47" fillId="0" borderId="26" xfId="0" applyNumberFormat="1" applyFont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 wrapText="1"/>
    </xf>
    <xf numFmtId="0" fontId="14" fillId="0" borderId="21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4" fillId="0" borderId="38" xfId="1" applyFont="1" applyBorder="1" applyAlignment="1">
      <alignment vertical="center" wrapText="1"/>
    </xf>
    <xf numFmtId="0" fontId="14" fillId="0" borderId="37" xfId="1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14" fillId="0" borderId="18" xfId="0" applyFont="1" applyBorder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4" fontId="18" fillId="0" borderId="42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4" fontId="35" fillId="0" borderId="66" xfId="0" applyNumberFormat="1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2" fontId="13" fillId="0" borderId="56" xfId="0" applyNumberFormat="1" applyFont="1" applyBorder="1" applyAlignment="1">
      <alignment horizontal="center" vertical="center" wrapText="1"/>
    </xf>
    <xf numFmtId="4" fontId="35" fillId="0" borderId="58" xfId="0" applyNumberFormat="1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4" fontId="35" fillId="0" borderId="44" xfId="0" applyNumberFormat="1" applyFont="1" applyBorder="1" applyAlignment="1">
      <alignment horizontal="center" vertical="center" wrapText="1"/>
    </xf>
    <xf numFmtId="0" fontId="14" fillId="0" borderId="56" xfId="0" applyFont="1" applyBorder="1" applyAlignment="1">
      <alignment vertical="center" wrapText="1"/>
    </xf>
    <xf numFmtId="0" fontId="47" fillId="0" borderId="68" xfId="0" applyFont="1" applyBorder="1" applyAlignment="1">
      <alignment horizontal="center" vertical="center" wrapText="1"/>
    </xf>
    <xf numFmtId="2" fontId="47" fillId="0" borderId="68" xfId="0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4" fontId="18" fillId="0" borderId="53" xfId="0" applyNumberFormat="1" applyFont="1" applyBorder="1" applyAlignment="1">
      <alignment horizontal="center" vertical="center" wrapText="1"/>
    </xf>
    <xf numFmtId="4" fontId="35" fillId="0" borderId="54" xfId="0" applyNumberFormat="1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2" fontId="13" fillId="0" borderId="71" xfId="0" applyNumberFormat="1" applyFont="1" applyBorder="1" applyAlignment="1">
      <alignment horizontal="center" vertical="center" wrapText="1"/>
    </xf>
    <xf numFmtId="4" fontId="35" fillId="0" borderId="72" xfId="0" applyNumberFormat="1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3" fontId="18" fillId="0" borderId="51" xfId="0" applyNumberFormat="1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4" fontId="18" fillId="0" borderId="51" xfId="0" applyNumberFormat="1" applyFont="1" applyBorder="1" applyAlignment="1">
      <alignment horizontal="center" vertical="center" wrapText="1"/>
    </xf>
    <xf numFmtId="4" fontId="18" fillId="0" borderId="50" xfId="0" applyNumberFormat="1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4" fontId="18" fillId="0" borderId="78" xfId="0" applyNumberFormat="1" applyFont="1" applyBorder="1" applyAlignment="1">
      <alignment horizontal="center" vertical="center" wrapText="1"/>
    </xf>
    <xf numFmtId="0" fontId="14" fillId="0" borderId="79" xfId="0" applyFont="1" applyBorder="1" applyAlignment="1">
      <alignment horizontal="center" vertical="center" wrapText="1"/>
    </xf>
    <xf numFmtId="0" fontId="14" fillId="0" borderId="79" xfId="1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 wrapText="1"/>
    </xf>
    <xf numFmtId="0" fontId="35" fillId="0" borderId="81" xfId="0" applyFont="1" applyBorder="1" applyAlignment="1">
      <alignment horizontal="center" vertical="center" wrapText="1"/>
    </xf>
    <xf numFmtId="0" fontId="14" fillId="0" borderId="57" xfId="0" applyFont="1" applyBorder="1" applyAlignment="1">
      <alignment vertical="center" wrapText="1"/>
    </xf>
    <xf numFmtId="0" fontId="13" fillId="0" borderId="68" xfId="0" applyFont="1" applyBorder="1" applyAlignment="1">
      <alignment horizontal="center" vertical="center" wrapText="1"/>
    </xf>
    <xf numFmtId="2" fontId="13" fillId="0" borderId="68" xfId="0" applyNumberFormat="1" applyFont="1" applyBorder="1" applyAlignment="1">
      <alignment horizontal="center" vertical="center" wrapText="1"/>
    </xf>
    <xf numFmtId="4" fontId="35" fillId="0" borderId="82" xfId="0" applyNumberFormat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right" vertical="center" wrapText="1"/>
    </xf>
    <xf numFmtId="43" fontId="13" fillId="0" borderId="56" xfId="2" applyFont="1" applyBorder="1" applyAlignment="1">
      <alignment horizontal="center" vertical="center" wrapText="1"/>
    </xf>
    <xf numFmtId="4" fontId="35" fillId="0" borderId="83" xfId="0" applyNumberFormat="1" applyFont="1" applyBorder="1" applyAlignment="1">
      <alignment horizontal="center" vertical="center" wrapText="1"/>
    </xf>
    <xf numFmtId="0" fontId="13" fillId="0" borderId="84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3" fillId="0" borderId="86" xfId="0" applyFont="1" applyBorder="1" applyAlignment="1">
      <alignment horizontal="center" vertical="center" wrapText="1"/>
    </xf>
    <xf numFmtId="0" fontId="14" fillId="0" borderId="68" xfId="0" applyFont="1" applyBorder="1" applyAlignment="1">
      <alignment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3" xfId="0" applyFont="1" applyBorder="1" applyAlignment="1">
      <alignment vertical="center" wrapText="1"/>
    </xf>
    <xf numFmtId="4" fontId="18" fillId="0" borderId="88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/>
    </xf>
    <xf numFmtId="0" fontId="3" fillId="0" borderId="1" xfId="0" applyFont="1" applyBorder="1"/>
    <xf numFmtId="0" fontId="37" fillId="0" borderId="1" xfId="0" applyFont="1" applyBorder="1" applyAlignment="1">
      <alignment horizontal="center" vertical="center" wrapText="1"/>
    </xf>
    <xf numFmtId="2" fontId="37" fillId="0" borderId="1" xfId="0" applyNumberFormat="1" applyFont="1" applyBorder="1" applyAlignment="1">
      <alignment horizontal="center" vertical="center" wrapText="1"/>
    </xf>
    <xf numFmtId="4" fontId="37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4" fontId="31" fillId="6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left" vertical="center" wrapText="1"/>
    </xf>
    <xf numFmtId="0" fontId="33" fillId="0" borderId="1" xfId="0" applyFont="1" applyBorder="1" applyAlignment="1">
      <alignment horizontal="right" vertical="center" wrapText="1"/>
    </xf>
    <xf numFmtId="0" fontId="33" fillId="0" borderId="1" xfId="1" applyFont="1" applyBorder="1" applyAlignment="1">
      <alignment horizontal="right" vertical="center" wrapText="1"/>
    </xf>
    <xf numFmtId="43" fontId="32" fillId="0" borderId="1" xfId="2" applyFont="1" applyBorder="1" applyAlignment="1">
      <alignment horizontal="center" vertical="center" wrapText="1"/>
    </xf>
    <xf numFmtId="166" fontId="25" fillId="0" borderId="3" xfId="0" applyNumberFormat="1" applyFont="1" applyBorder="1" applyAlignment="1">
      <alignment horizontal="center" vertical="top" wrapText="1"/>
    </xf>
    <xf numFmtId="2" fontId="25" fillId="0" borderId="3" xfId="0" applyNumberFormat="1" applyFont="1" applyBorder="1" applyAlignment="1">
      <alignment horizontal="center" vertical="top" wrapText="1"/>
    </xf>
    <xf numFmtId="0" fontId="51" fillId="3" borderId="20" xfId="0" applyFont="1" applyFill="1" applyBorder="1" applyAlignment="1">
      <alignment horizontal="center" vertical="center" wrapText="1"/>
    </xf>
    <xf numFmtId="0" fontId="51" fillId="3" borderId="21" xfId="0" applyFont="1" applyFill="1" applyBorder="1" applyAlignment="1">
      <alignment horizontal="center" vertical="center" wrapText="1"/>
    </xf>
    <xf numFmtId="0" fontId="51" fillId="3" borderId="21" xfId="0" applyFont="1" applyFill="1" applyBorder="1" applyAlignment="1">
      <alignment horizontal="center" vertical="center"/>
    </xf>
    <xf numFmtId="0" fontId="51" fillId="3" borderId="22" xfId="0" applyFont="1" applyFill="1" applyBorder="1" applyAlignment="1">
      <alignment horizontal="center" vertical="center"/>
    </xf>
    <xf numFmtId="0" fontId="51" fillId="3" borderId="9" xfId="0" applyFont="1" applyFill="1" applyBorder="1" applyAlignment="1">
      <alignment horizontal="center" vertical="center" wrapText="1"/>
    </xf>
    <xf numFmtId="0" fontId="51" fillId="3" borderId="3" xfId="0" applyFont="1" applyFill="1" applyBorder="1" applyAlignment="1">
      <alignment horizontal="center" vertical="center" wrapText="1"/>
    </xf>
    <xf numFmtId="0" fontId="51" fillId="3" borderId="3" xfId="0" applyFont="1" applyFill="1" applyBorder="1" applyAlignment="1">
      <alignment horizontal="center" vertical="center"/>
    </xf>
    <xf numFmtId="0" fontId="51" fillId="3" borderId="10" xfId="0" applyFont="1" applyFill="1" applyBorder="1" applyAlignment="1">
      <alignment horizontal="center" vertical="center"/>
    </xf>
    <xf numFmtId="0" fontId="34" fillId="0" borderId="9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justify" vertical="center" wrapText="1"/>
    </xf>
    <xf numFmtId="0" fontId="34" fillId="0" borderId="3" xfId="0" applyFont="1" applyBorder="1" applyAlignment="1">
      <alignment horizontal="center" vertical="center" wrapText="1"/>
    </xf>
    <xf numFmtId="4" fontId="34" fillId="0" borderId="3" xfId="0" applyNumberFormat="1" applyFont="1" applyBorder="1" applyAlignment="1">
      <alignment horizontal="center" vertical="center" wrapText="1"/>
    </xf>
    <xf numFmtId="4" fontId="34" fillId="0" borderId="10" xfId="0" applyNumberFormat="1" applyFont="1" applyBorder="1" applyAlignment="1">
      <alignment horizontal="right" vertical="center" wrapText="1"/>
    </xf>
    <xf numFmtId="0" fontId="34" fillId="0" borderId="3" xfId="0" applyFont="1" applyBorder="1" applyAlignment="1">
      <alignment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/>
    </xf>
    <xf numFmtId="0" fontId="34" fillId="3" borderId="1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164" fontId="51" fillId="0" borderId="10" xfId="2" applyNumberFormat="1" applyFont="1" applyBorder="1" applyAlignment="1">
      <alignment horizontal="right" vertical="center" wrapText="1"/>
    </xf>
    <xf numFmtId="164" fontId="51" fillId="4" borderId="13" xfId="2" applyNumberFormat="1" applyFont="1" applyFill="1" applyBorder="1" applyAlignment="1">
      <alignment horizontal="right" vertical="center"/>
    </xf>
    <xf numFmtId="0" fontId="34" fillId="0" borderId="6" xfId="0" applyFont="1" applyBorder="1" applyAlignment="1">
      <alignment vertical="center" wrapText="1"/>
    </xf>
    <xf numFmtId="4" fontId="34" fillId="0" borderId="3" xfId="0" applyNumberFormat="1" applyFont="1" applyBorder="1" applyAlignment="1" applyProtection="1">
      <alignment horizontal="center" vertical="center" wrapText="1"/>
      <protection locked="0"/>
    </xf>
    <xf numFmtId="0" fontId="34" fillId="3" borderId="3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right" vertical="center" wrapText="1"/>
    </xf>
    <xf numFmtId="0" fontId="13" fillId="0" borderId="64" xfId="0" applyFont="1" applyBorder="1" applyAlignment="1">
      <alignment horizontal="right" vertical="center" wrapText="1"/>
    </xf>
    <xf numFmtId="0" fontId="13" fillId="0" borderId="85" xfId="0" applyFont="1" applyBorder="1" applyAlignment="1">
      <alignment horizontal="right" vertical="center" wrapText="1"/>
    </xf>
    <xf numFmtId="0" fontId="13" fillId="0" borderId="61" xfId="0" applyFont="1" applyBorder="1" applyAlignment="1">
      <alignment horizontal="right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47" fillId="0" borderId="57" xfId="0" applyFont="1" applyBorder="1" applyAlignment="1">
      <alignment horizontal="center" vertical="center" wrapText="1"/>
    </xf>
    <xf numFmtId="0" fontId="47" fillId="0" borderId="46" xfId="0" applyFont="1" applyBorder="1" applyAlignment="1">
      <alignment horizontal="center" vertical="center" wrapText="1"/>
    </xf>
    <xf numFmtId="0" fontId="47" fillId="0" borderId="64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4" fillId="0" borderId="48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left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87" xfId="0" applyFont="1" applyBorder="1" applyAlignment="1">
      <alignment horizontal="center" vertical="center" wrapText="1"/>
    </xf>
    <xf numFmtId="43" fontId="13" fillId="0" borderId="56" xfId="2" applyFont="1" applyBorder="1" applyAlignment="1">
      <alignment horizontal="center" vertical="center" wrapText="1"/>
    </xf>
    <xf numFmtId="2" fontId="13" fillId="0" borderId="56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43" fontId="13" fillId="0" borderId="3" xfId="2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25" fillId="0" borderId="3" xfId="0" applyNumberFormat="1" applyFont="1" applyBorder="1" applyAlignment="1">
      <alignment horizontal="center" vertical="center"/>
    </xf>
    <xf numFmtId="4" fontId="44" fillId="6" borderId="60" xfId="3" applyNumberFormat="1" applyFont="1" applyFill="1" applyBorder="1" applyAlignment="1">
      <alignment horizontal="center" vertical="center"/>
    </xf>
    <xf numFmtId="4" fontId="44" fillId="6" borderId="2" xfId="3" applyNumberFormat="1" applyFont="1" applyFill="1" applyBorder="1" applyAlignment="1">
      <alignment horizontal="center" vertical="center"/>
    </xf>
    <xf numFmtId="0" fontId="40" fillId="0" borderId="3" xfId="3" applyFont="1" applyBorder="1" applyAlignment="1">
      <alignment horizontal="center" vertical="center" wrapText="1"/>
    </xf>
    <xf numFmtId="0" fontId="43" fillId="6" borderId="60" xfId="3" applyFont="1" applyFill="1" applyBorder="1" applyAlignment="1">
      <alignment horizontal="center" vertical="center"/>
    </xf>
    <xf numFmtId="0" fontId="43" fillId="6" borderId="19" xfId="3" applyFont="1" applyFill="1" applyBorder="1" applyAlignment="1">
      <alignment horizontal="center" vertical="center"/>
    </xf>
    <xf numFmtId="0" fontId="34" fillId="4" borderId="11" xfId="0" applyFont="1" applyFill="1" applyBorder="1" applyAlignment="1">
      <alignment horizontal="center"/>
    </xf>
    <xf numFmtId="0" fontId="34" fillId="4" borderId="12" xfId="0" applyFont="1" applyFill="1" applyBorder="1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34" fillId="0" borderId="9" xfId="0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0" fontId="0" fillId="0" borderId="89" xfId="0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" xfId="1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43" fontId="32" fillId="0" borderId="1" xfId="2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</cellXfs>
  <cellStyles count="4">
    <cellStyle name="Milliers" xfId="2" builtinId="3"/>
    <cellStyle name="Normal" xfId="0" builtinId="0"/>
    <cellStyle name="Normal 110" xfId="3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326571</xdr:colOff>
      <xdr:row>4</xdr:row>
      <xdr:rowOff>730898</xdr:rowOff>
    </xdr:from>
    <xdr:to>
      <xdr:col>24</xdr:col>
      <xdr:colOff>33101</xdr:colOff>
      <xdr:row>17</xdr:row>
      <xdr:rowOff>222768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66871" y="2003438"/>
          <a:ext cx="11479430" cy="642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view="pageBreakPreview" zoomScale="85" zoomScaleSheetLayoutView="85" workbookViewId="0">
      <selection activeCell="A2" sqref="A2:I2"/>
    </sheetView>
  </sheetViews>
  <sheetFormatPr baseColWidth="10" defaultColWidth="11.42578125" defaultRowHeight="14.25" x14ac:dyDescent="0.2"/>
  <cols>
    <col min="1" max="1" width="7.5703125" style="12" customWidth="1"/>
    <col min="2" max="2" width="38.7109375" style="3" customWidth="1"/>
    <col min="3" max="3" width="8.7109375" style="3" customWidth="1"/>
    <col min="4" max="4" width="5" style="3" customWidth="1"/>
    <col min="5" max="5" width="7.7109375" style="3" customWidth="1"/>
    <col min="6" max="6" width="5.28515625" style="3" customWidth="1"/>
    <col min="7" max="7" width="6.85546875" style="3" customWidth="1"/>
    <col min="8" max="8" width="11.85546875" style="18" customWidth="1"/>
    <col min="9" max="9" width="22.42578125" style="83" customWidth="1"/>
    <col min="10" max="16384" width="11.42578125" style="3"/>
  </cols>
  <sheetData>
    <row r="1" spans="1:9" s="1" customFormat="1" ht="58.9" customHeight="1" x14ac:dyDescent="0.25">
      <c r="A1" s="238" t="s">
        <v>78</v>
      </c>
      <c r="B1" s="238"/>
      <c r="C1" s="238"/>
      <c r="D1" s="238"/>
      <c r="E1" s="238"/>
      <c r="F1" s="238"/>
      <c r="G1" s="238"/>
      <c r="H1" s="238"/>
      <c r="I1" s="238"/>
    </row>
    <row r="2" spans="1:9" ht="21.75" customHeight="1" x14ac:dyDescent="0.2">
      <c r="A2" s="239" t="s">
        <v>43</v>
      </c>
      <c r="B2" s="239"/>
      <c r="C2" s="239"/>
      <c r="D2" s="239"/>
      <c r="E2" s="239"/>
      <c r="F2" s="239"/>
      <c r="G2" s="239"/>
      <c r="H2" s="239"/>
      <c r="I2" s="239"/>
    </row>
    <row r="3" spans="1:9" ht="5.25" customHeight="1" thickBot="1" x14ac:dyDescent="0.3"/>
    <row r="4" spans="1:9" ht="51.75" customHeight="1" thickTop="1" thickBot="1" x14ac:dyDescent="0.25">
      <c r="A4" s="129" t="s">
        <v>44</v>
      </c>
      <c r="B4" s="130" t="s">
        <v>23</v>
      </c>
      <c r="C4" s="130" t="s">
        <v>2</v>
      </c>
      <c r="D4" s="130" t="s">
        <v>14</v>
      </c>
      <c r="E4" s="130" t="s">
        <v>19</v>
      </c>
      <c r="F4" s="130" t="s">
        <v>20</v>
      </c>
      <c r="G4" s="130" t="s">
        <v>45</v>
      </c>
      <c r="H4" s="131" t="s">
        <v>46</v>
      </c>
      <c r="I4" s="132" t="s">
        <v>3</v>
      </c>
    </row>
    <row r="5" spans="1:9" ht="43.5" customHeight="1" thickBot="1" x14ac:dyDescent="0.25">
      <c r="A5" s="133"/>
      <c r="B5" s="97" t="s">
        <v>47</v>
      </c>
      <c r="C5" s="224"/>
      <c r="D5" s="225"/>
      <c r="E5" s="225"/>
      <c r="F5" s="225"/>
      <c r="G5" s="225"/>
      <c r="H5" s="225"/>
      <c r="I5" s="226"/>
    </row>
    <row r="6" spans="1:9" ht="22.5" customHeight="1" thickBot="1" x14ac:dyDescent="0.3">
      <c r="A6" s="133">
        <v>1</v>
      </c>
      <c r="B6" s="98" t="s">
        <v>48</v>
      </c>
      <c r="C6" s="21" t="s">
        <v>28</v>
      </c>
      <c r="D6" s="240"/>
      <c r="E6" s="241"/>
      <c r="F6" s="241"/>
      <c r="G6" s="241"/>
      <c r="H6" s="242"/>
      <c r="I6" s="134">
        <f>H7</f>
        <v>1</v>
      </c>
    </row>
    <row r="7" spans="1:9" ht="15" customHeight="1" thickBot="1" x14ac:dyDescent="0.3">
      <c r="A7" s="135"/>
      <c r="B7" s="99"/>
      <c r="C7" s="13"/>
      <c r="D7" s="13">
        <v>1</v>
      </c>
      <c r="E7" s="13"/>
      <c r="F7" s="13"/>
      <c r="G7" s="13"/>
      <c r="H7" s="14">
        <f>D7</f>
        <v>1</v>
      </c>
      <c r="I7" s="119"/>
    </row>
    <row r="8" spans="1:9" ht="28.15" thickBot="1" x14ac:dyDescent="0.3">
      <c r="A8" s="118">
        <v>2</v>
      </c>
      <c r="B8" s="90" t="s">
        <v>49</v>
      </c>
      <c r="C8" s="16" t="s">
        <v>28</v>
      </c>
      <c r="D8" s="198"/>
      <c r="E8" s="199"/>
      <c r="F8" s="199"/>
      <c r="G8" s="199"/>
      <c r="H8" s="227"/>
      <c r="I8" s="134">
        <f>H9</f>
        <v>1</v>
      </c>
    </row>
    <row r="9" spans="1:9" ht="17.25" customHeight="1" thickBot="1" x14ac:dyDescent="0.3">
      <c r="A9" s="135"/>
      <c r="B9" s="99"/>
      <c r="C9" s="13"/>
      <c r="D9" s="13">
        <v>1</v>
      </c>
      <c r="E9" s="13"/>
      <c r="F9" s="13"/>
      <c r="G9" s="13"/>
      <c r="H9" s="14">
        <f>D9</f>
        <v>1</v>
      </c>
      <c r="I9" s="119"/>
    </row>
    <row r="10" spans="1:9" ht="28.15" thickBot="1" x14ac:dyDescent="0.3">
      <c r="A10" s="118">
        <v>3</v>
      </c>
      <c r="B10" s="90" t="s">
        <v>30</v>
      </c>
      <c r="C10" s="16" t="s">
        <v>31</v>
      </c>
      <c r="D10" s="198"/>
      <c r="E10" s="199"/>
      <c r="F10" s="199"/>
      <c r="G10" s="199"/>
      <c r="H10" s="227"/>
      <c r="I10" s="136">
        <f>H11</f>
        <v>6</v>
      </c>
    </row>
    <row r="11" spans="1:9" ht="15" customHeight="1" x14ac:dyDescent="0.25">
      <c r="A11" s="135"/>
      <c r="B11" s="99"/>
      <c r="C11" s="13"/>
      <c r="D11" s="13">
        <v>6</v>
      </c>
      <c r="E11" s="13"/>
      <c r="F11" s="13"/>
      <c r="G11" s="13"/>
      <c r="H11" s="14">
        <f>D11</f>
        <v>6</v>
      </c>
      <c r="I11" s="119"/>
    </row>
    <row r="12" spans="1:9" ht="5.0999999999999996" customHeight="1" thickBot="1" x14ac:dyDescent="0.3">
      <c r="A12" s="204"/>
      <c r="B12" s="205"/>
      <c r="C12" s="205"/>
      <c r="D12" s="205"/>
      <c r="E12" s="205"/>
      <c r="F12" s="205"/>
      <c r="G12" s="205"/>
      <c r="H12" s="205"/>
      <c r="I12" s="206"/>
    </row>
    <row r="13" spans="1:9" ht="30.75" customHeight="1" thickBot="1" x14ac:dyDescent="0.25">
      <c r="A13" s="153"/>
      <c r="B13" s="108" t="s">
        <v>79</v>
      </c>
      <c r="C13" s="243"/>
      <c r="D13" s="244"/>
      <c r="E13" s="244"/>
      <c r="F13" s="244"/>
      <c r="G13" s="244"/>
      <c r="H13" s="244"/>
      <c r="I13" s="245"/>
    </row>
    <row r="14" spans="1:9" ht="28.5" customHeight="1" thickTop="1" thickBot="1" x14ac:dyDescent="0.3">
      <c r="A14" s="110">
        <v>4</v>
      </c>
      <c r="B14" s="101" t="e">
        <f>+#REF!</f>
        <v>#REF!</v>
      </c>
      <c r="C14" s="82" t="s">
        <v>21</v>
      </c>
      <c r="D14" s="214"/>
      <c r="E14" s="215"/>
      <c r="F14" s="215"/>
      <c r="G14" s="215"/>
      <c r="H14" s="216"/>
      <c r="I14" s="111">
        <f>H15</f>
        <v>56000</v>
      </c>
    </row>
    <row r="15" spans="1:9" ht="28.5" customHeight="1" x14ac:dyDescent="0.25">
      <c r="A15" s="118"/>
      <c r="B15" s="90"/>
      <c r="C15" s="16"/>
      <c r="D15" s="13"/>
      <c r="E15" s="19">
        <v>8000</v>
      </c>
      <c r="F15" s="14">
        <v>7</v>
      </c>
      <c r="G15" s="13"/>
      <c r="H15" s="14">
        <f>F15*E15</f>
        <v>56000</v>
      </c>
      <c r="I15" s="119"/>
    </row>
    <row r="16" spans="1:9" ht="28.5" customHeight="1" thickBot="1" x14ac:dyDescent="0.3">
      <c r="A16" s="112"/>
      <c r="B16" s="100"/>
      <c r="C16" s="20"/>
      <c r="D16" s="20"/>
      <c r="E16" s="20"/>
      <c r="F16" s="20"/>
      <c r="G16" s="20"/>
      <c r="H16" s="109"/>
      <c r="I16" s="150"/>
    </row>
    <row r="17" spans="1:13" ht="28.5" customHeight="1" thickTop="1" thickBot="1" x14ac:dyDescent="0.25">
      <c r="A17" s="155">
        <v>5</v>
      </c>
      <c r="B17" s="156" t="s">
        <v>120</v>
      </c>
      <c r="C17" s="123" t="s">
        <v>21</v>
      </c>
      <c r="D17" s="207"/>
      <c r="E17" s="208"/>
      <c r="F17" s="208"/>
      <c r="G17" s="208"/>
      <c r="H17" s="209"/>
      <c r="I17" s="157">
        <f>H18</f>
        <v>57440</v>
      </c>
    </row>
    <row r="18" spans="1:13" ht="28.5" customHeight="1" thickTop="1" thickBot="1" x14ac:dyDescent="0.3">
      <c r="A18" s="127"/>
      <c r="B18" s="154"/>
      <c r="C18" s="145"/>
      <c r="D18" s="145">
        <v>2</v>
      </c>
      <c r="E18" s="152">
        <v>8000</v>
      </c>
      <c r="F18" s="146">
        <v>3.59</v>
      </c>
      <c r="G18" s="145"/>
      <c r="H18" s="146">
        <f>F18*E18*D18</f>
        <v>57440</v>
      </c>
      <c r="I18" s="147"/>
    </row>
    <row r="19" spans="1:13" ht="35.1" customHeight="1" thickTop="1" thickBot="1" x14ac:dyDescent="0.3">
      <c r="A19" s="110">
        <v>6</v>
      </c>
      <c r="B19" s="101" t="s">
        <v>95</v>
      </c>
      <c r="C19" s="82" t="s">
        <v>0</v>
      </c>
      <c r="D19" s="214"/>
      <c r="E19" s="215"/>
      <c r="F19" s="215"/>
      <c r="G19" s="215"/>
      <c r="H19" s="216"/>
      <c r="I19" s="111">
        <f>H20+H21</f>
        <v>22208</v>
      </c>
      <c r="M19" s="84" t="s">
        <v>102</v>
      </c>
    </row>
    <row r="20" spans="1:13" ht="47.1" customHeight="1" thickBot="1" x14ac:dyDescent="0.3">
      <c r="A20" s="114"/>
      <c r="B20" s="210" t="s">
        <v>132</v>
      </c>
      <c r="C20" s="211"/>
      <c r="D20" s="145">
        <v>1</v>
      </c>
      <c r="E20" s="152">
        <v>8000</v>
      </c>
      <c r="F20" s="146">
        <v>7</v>
      </c>
      <c r="G20" s="145">
        <v>0.2</v>
      </c>
      <c r="H20" s="146">
        <f>+E20*F20*G20</f>
        <v>11200</v>
      </c>
      <c r="I20" s="147"/>
      <c r="M20" s="84"/>
    </row>
    <row r="21" spans="1:13" ht="28.5" customHeight="1" thickTop="1" thickBot="1" x14ac:dyDescent="0.25">
      <c r="A21" s="151"/>
      <c r="B21" s="212" t="s">
        <v>133</v>
      </c>
      <c r="C21" s="213"/>
      <c r="D21" s="79">
        <v>2</v>
      </c>
      <c r="E21" s="79">
        <v>8000</v>
      </c>
      <c r="F21" s="79">
        <v>3.44</v>
      </c>
      <c r="G21" s="79">
        <v>0.2</v>
      </c>
      <c r="H21" s="80">
        <f>D21*E21*F21*G21</f>
        <v>11008</v>
      </c>
      <c r="I21" s="113"/>
    </row>
    <row r="22" spans="1:13" ht="35.1" customHeight="1" thickTop="1" thickBot="1" x14ac:dyDescent="0.3">
      <c r="A22" s="110">
        <v>7</v>
      </c>
      <c r="B22" s="101" t="s">
        <v>134</v>
      </c>
      <c r="C22" s="82" t="s">
        <v>0</v>
      </c>
      <c r="D22" s="214"/>
      <c r="E22" s="215"/>
      <c r="F22" s="215"/>
      <c r="G22" s="215"/>
      <c r="H22" s="216"/>
      <c r="I22" s="111">
        <f>H23+H24</f>
        <v>3120</v>
      </c>
      <c r="M22" s="84" t="s">
        <v>102</v>
      </c>
    </row>
    <row r="23" spans="1:13" ht="47.1" customHeight="1" x14ac:dyDescent="0.3">
      <c r="A23" s="112"/>
      <c r="B23" s="217"/>
      <c r="C23" s="218"/>
      <c r="D23" s="91">
        <v>2</v>
      </c>
      <c r="E23" s="92">
        <v>8000</v>
      </c>
      <c r="F23" s="93">
        <v>1.5</v>
      </c>
      <c r="G23" s="91">
        <v>0.13</v>
      </c>
      <c r="H23" s="93">
        <f>+E23*F23*G23*D23</f>
        <v>3120</v>
      </c>
      <c r="I23" s="113"/>
      <c r="M23" s="84"/>
    </row>
    <row r="24" spans="1:13" ht="28.5" customHeight="1" thickBot="1" x14ac:dyDescent="0.3">
      <c r="A24" s="114"/>
      <c r="B24" s="210"/>
      <c r="C24" s="211"/>
      <c r="D24" s="115"/>
      <c r="E24" s="115"/>
      <c r="F24" s="115"/>
      <c r="G24" s="115"/>
      <c r="H24" s="116"/>
      <c r="I24" s="117"/>
    </row>
    <row r="25" spans="1:13" ht="28.5" customHeight="1" thickTop="1" thickBot="1" x14ac:dyDescent="0.25">
      <c r="A25" s="110">
        <v>8</v>
      </c>
      <c r="B25" s="101" t="s">
        <v>125</v>
      </c>
      <c r="C25" s="82" t="s">
        <v>1</v>
      </c>
      <c r="D25" s="214"/>
      <c r="E25" s="215"/>
      <c r="F25" s="215"/>
      <c r="G25" s="215"/>
      <c r="H25" s="216"/>
      <c r="I25" s="111">
        <f>H26</f>
        <v>120</v>
      </c>
    </row>
    <row r="26" spans="1:13" ht="28.5" customHeight="1" x14ac:dyDescent="0.2">
      <c r="A26" s="118"/>
      <c r="B26" s="90"/>
      <c r="C26" s="16"/>
      <c r="D26" s="94">
        <v>2</v>
      </c>
      <c r="E26" s="95">
        <v>8000</v>
      </c>
      <c r="F26" s="96">
        <v>5</v>
      </c>
      <c r="G26" s="94">
        <v>1.5</v>
      </c>
      <c r="H26" s="96">
        <f>F26*E26*D26*G26/1000</f>
        <v>120</v>
      </c>
      <c r="I26" s="119"/>
    </row>
    <row r="27" spans="1:13" ht="28.5" customHeight="1" thickBot="1" x14ac:dyDescent="0.25">
      <c r="A27" s="114"/>
      <c r="B27" s="120"/>
      <c r="C27" s="115"/>
      <c r="D27" s="121"/>
      <c r="E27" s="219" t="s">
        <v>126</v>
      </c>
      <c r="F27" s="220"/>
      <c r="G27" s="221"/>
      <c r="H27" s="122"/>
      <c r="I27" s="117"/>
    </row>
    <row r="28" spans="1:13" ht="28.5" customHeight="1" thickTop="1" thickBot="1" x14ac:dyDescent="0.25">
      <c r="A28" s="110">
        <v>9</v>
      </c>
      <c r="B28" s="101" t="s">
        <v>101</v>
      </c>
      <c r="C28" s="82" t="s">
        <v>21</v>
      </c>
      <c r="D28" s="214"/>
      <c r="E28" s="215"/>
      <c r="F28" s="215"/>
      <c r="G28" s="215"/>
      <c r="H28" s="216"/>
      <c r="I28" s="111">
        <f>H29</f>
        <v>80000</v>
      </c>
    </row>
    <row r="29" spans="1:13" ht="28.5" customHeight="1" x14ac:dyDescent="0.2">
      <c r="A29" s="118"/>
      <c r="B29" s="90"/>
      <c r="C29" s="16"/>
      <c r="D29" s="13">
        <v>2</v>
      </c>
      <c r="E29" s="19">
        <v>8000</v>
      </c>
      <c r="F29" s="14">
        <v>5</v>
      </c>
      <c r="G29" s="13"/>
      <c r="H29" s="14">
        <f>F29*E29*2</f>
        <v>80000</v>
      </c>
      <c r="I29" s="119"/>
    </row>
    <row r="30" spans="1:13" ht="28.5" customHeight="1" thickBot="1" x14ac:dyDescent="0.25">
      <c r="A30" s="114"/>
      <c r="B30" s="120"/>
      <c r="C30" s="115"/>
      <c r="D30" s="115"/>
      <c r="E30" s="115"/>
      <c r="F30" s="115"/>
      <c r="G30" s="115"/>
      <c r="H30" s="116"/>
      <c r="I30" s="117"/>
    </row>
    <row r="31" spans="1:13" ht="28.5" customHeight="1" thickTop="1" thickBot="1" x14ac:dyDescent="0.25">
      <c r="A31" s="140">
        <v>10</v>
      </c>
      <c r="B31" s="102" t="s">
        <v>98</v>
      </c>
      <c r="C31" s="82" t="s">
        <v>13</v>
      </c>
      <c r="D31" s="214"/>
      <c r="E31" s="215"/>
      <c r="F31" s="215"/>
      <c r="G31" s="215"/>
      <c r="H31" s="216"/>
      <c r="I31" s="111">
        <f>H32</f>
        <v>16000</v>
      </c>
    </row>
    <row r="32" spans="1:13" ht="28.5" customHeight="1" x14ac:dyDescent="0.2">
      <c r="A32" s="118"/>
      <c r="B32" s="90"/>
      <c r="C32" s="16"/>
      <c r="D32" s="13">
        <v>2</v>
      </c>
      <c r="E32" s="19">
        <v>8000</v>
      </c>
      <c r="F32" s="14"/>
      <c r="G32" s="13"/>
      <c r="H32" s="14">
        <f>E32*D32</f>
        <v>16000</v>
      </c>
      <c r="I32" s="119"/>
    </row>
    <row r="33" spans="1:13" ht="28.35" customHeight="1" thickBot="1" x14ac:dyDescent="0.25">
      <c r="A33" s="114"/>
      <c r="B33" s="120"/>
      <c r="C33" s="115"/>
      <c r="D33" s="145"/>
      <c r="E33" s="145"/>
      <c r="F33" s="145"/>
      <c r="G33" s="145"/>
      <c r="H33" s="146"/>
      <c r="I33" s="147"/>
    </row>
    <row r="34" spans="1:13" ht="28.5" customHeight="1" thickTop="1" thickBot="1" x14ac:dyDescent="0.25">
      <c r="A34" s="138">
        <v>11</v>
      </c>
      <c r="B34" s="99" t="s">
        <v>123</v>
      </c>
      <c r="C34" s="13" t="s">
        <v>0</v>
      </c>
      <c r="D34" s="201"/>
      <c r="E34" s="202"/>
      <c r="F34" s="202"/>
      <c r="G34" s="202"/>
      <c r="H34" s="203"/>
      <c r="I34" s="139">
        <f>H35</f>
        <v>4711.6912499999999</v>
      </c>
    </row>
    <row r="35" spans="1:13" ht="28.5" customHeight="1" x14ac:dyDescent="0.2">
      <c r="A35" s="118"/>
      <c r="B35" s="90"/>
      <c r="C35" s="16"/>
      <c r="D35" s="13">
        <v>2</v>
      </c>
      <c r="E35" s="19">
        <v>8000</v>
      </c>
      <c r="F35" s="14">
        <f>(1.5+1.5+0.29)/2</f>
        <v>1.645</v>
      </c>
      <c r="G35" s="13">
        <v>0.19</v>
      </c>
      <c r="H35" s="14">
        <f>(16000-F36)*F35*G35</f>
        <v>4711.6912499999999</v>
      </c>
      <c r="I35" s="119"/>
    </row>
    <row r="36" spans="1:13" ht="28.5" customHeight="1" thickBot="1" x14ac:dyDescent="0.25">
      <c r="A36" s="118"/>
      <c r="B36" s="90"/>
      <c r="C36" s="16"/>
      <c r="D36" s="222" t="s">
        <v>129</v>
      </c>
      <c r="E36" s="223"/>
      <c r="F36" s="13">
        <v>925</v>
      </c>
      <c r="G36" s="13" t="s">
        <v>131</v>
      </c>
      <c r="H36" s="14"/>
      <c r="I36" s="119"/>
    </row>
    <row r="37" spans="1:13" ht="28.5" customHeight="1" thickTop="1" thickBot="1" x14ac:dyDescent="0.25">
      <c r="A37" s="229"/>
      <c r="B37" s="208"/>
      <c r="C37" s="208"/>
      <c r="D37" s="208"/>
      <c r="E37" s="208"/>
      <c r="F37" s="208"/>
      <c r="G37" s="208"/>
      <c r="H37" s="208"/>
      <c r="I37" s="230"/>
    </row>
    <row r="38" spans="1:13" ht="28.5" customHeight="1" thickTop="1" thickBot="1" x14ac:dyDescent="0.25">
      <c r="A38" s="110">
        <v>12</v>
      </c>
      <c r="B38" s="101" t="s">
        <v>62</v>
      </c>
      <c r="C38" s="82" t="s">
        <v>6</v>
      </c>
      <c r="D38" s="214"/>
      <c r="E38" s="215"/>
      <c r="F38" s="215"/>
      <c r="G38" s="215"/>
      <c r="H38" s="216"/>
      <c r="I38" s="111">
        <f>H39-H40</f>
        <v>15500</v>
      </c>
    </row>
    <row r="39" spans="1:13" ht="28.5" customHeight="1" x14ac:dyDescent="0.25">
      <c r="A39" s="118"/>
      <c r="B39" s="90"/>
      <c r="C39" s="16"/>
      <c r="D39" s="94">
        <v>2</v>
      </c>
      <c r="E39" s="95">
        <v>8000</v>
      </c>
      <c r="F39" s="96"/>
      <c r="G39" s="94"/>
      <c r="H39" s="96">
        <f>E39*D39</f>
        <v>16000</v>
      </c>
      <c r="I39" s="119"/>
      <c r="M39" s="78"/>
    </row>
    <row r="40" spans="1:13" ht="28.5" customHeight="1" x14ac:dyDescent="0.2">
      <c r="A40" s="118"/>
      <c r="B40" s="90"/>
      <c r="C40" s="16"/>
      <c r="D40" s="94"/>
      <c r="E40" s="94" t="s">
        <v>129</v>
      </c>
      <c r="F40" s="94" t="s">
        <v>130</v>
      </c>
      <c r="G40" s="94"/>
      <c r="H40" s="96">
        <v>500</v>
      </c>
      <c r="I40" s="119"/>
    </row>
    <row r="41" spans="1:13" ht="29.45" hidden="1" customHeight="1" x14ac:dyDescent="0.25">
      <c r="A41" s="231" t="s">
        <v>89</v>
      </c>
      <c r="B41" s="232"/>
      <c r="C41" s="16" t="s">
        <v>1</v>
      </c>
      <c r="D41" s="198" t="s">
        <v>16</v>
      </c>
      <c r="E41" s="199"/>
      <c r="F41" s="73"/>
      <c r="G41" s="199" t="s">
        <v>17</v>
      </c>
      <c r="H41" s="227"/>
      <c r="I41" s="137">
        <v>0</v>
      </c>
    </row>
    <row r="42" spans="1:13" ht="14.45" hidden="1" thickBot="1" x14ac:dyDescent="0.3">
      <c r="A42" s="118"/>
      <c r="B42" s="17"/>
      <c r="C42" s="16"/>
      <c r="D42" s="228" t="e">
        <f>Métré!#REF!</f>
        <v>#REF!</v>
      </c>
      <c r="E42" s="200"/>
      <c r="F42" s="13" t="s">
        <v>90</v>
      </c>
      <c r="G42" s="228" t="e">
        <f>Métré!#REF!</f>
        <v>#REF!</v>
      </c>
      <c r="H42" s="227"/>
      <c r="I42" s="136"/>
    </row>
    <row r="43" spans="1:13" ht="13.9" hidden="1" x14ac:dyDescent="0.25">
      <c r="A43" s="118"/>
      <c r="B43" s="17"/>
      <c r="C43" s="16"/>
      <c r="D43" s="198" t="s">
        <v>53</v>
      </c>
      <c r="E43" s="199"/>
      <c r="F43" s="199"/>
      <c r="G43" s="200"/>
      <c r="H43" s="14" t="e">
        <f>G42+D42</f>
        <v>#REF!</v>
      </c>
      <c r="I43" s="119"/>
    </row>
    <row r="44" spans="1:13" ht="13.9" hidden="1" x14ac:dyDescent="0.25">
      <c r="A44" s="233"/>
      <c r="B44" s="199"/>
      <c r="C44" s="199"/>
      <c r="D44" s="199"/>
      <c r="E44" s="199"/>
      <c r="F44" s="199"/>
      <c r="G44" s="199"/>
      <c r="H44" s="199"/>
      <c r="I44" s="234"/>
    </row>
    <row r="45" spans="1:13" ht="15" thickBot="1" x14ac:dyDescent="0.25">
      <c r="A45" s="235"/>
      <c r="B45" s="236"/>
      <c r="C45" s="236"/>
      <c r="D45" s="236"/>
      <c r="E45" s="236"/>
      <c r="F45" s="236"/>
      <c r="G45" s="236"/>
      <c r="H45" s="236"/>
      <c r="I45" s="237"/>
    </row>
    <row r="46" spans="1:13" ht="29.45" customHeight="1" thickTop="1" thickBot="1" x14ac:dyDescent="0.25">
      <c r="A46" s="124">
        <v>13</v>
      </c>
      <c r="B46" s="103" t="s">
        <v>83</v>
      </c>
      <c r="C46" s="82" t="s">
        <v>1</v>
      </c>
      <c r="D46" s="214"/>
      <c r="E46" s="215"/>
      <c r="F46" s="215"/>
      <c r="G46" s="215"/>
      <c r="H46" s="216"/>
      <c r="I46" s="111">
        <f>+H50</f>
        <v>10528</v>
      </c>
    </row>
    <row r="47" spans="1:13" ht="15" thickBot="1" x14ac:dyDescent="0.25">
      <c r="A47" s="118"/>
      <c r="B47" s="17"/>
      <c r="C47" s="16"/>
      <c r="D47" s="13">
        <v>1</v>
      </c>
      <c r="E47" s="13">
        <v>8000</v>
      </c>
      <c r="F47" s="13">
        <v>7</v>
      </c>
      <c r="G47" s="13">
        <v>0.08</v>
      </c>
      <c r="H47" s="14">
        <f>D47*E47*F47*G47</f>
        <v>4480</v>
      </c>
      <c r="I47" s="136"/>
    </row>
    <row r="48" spans="1:13" x14ac:dyDescent="0.2">
      <c r="A48" s="118"/>
      <c r="B48" s="90"/>
      <c r="C48" s="16"/>
      <c r="D48" s="198" t="s">
        <v>51</v>
      </c>
      <c r="E48" s="199"/>
      <c r="F48" s="199"/>
      <c r="G48" s="200"/>
      <c r="H48" s="14">
        <f>H46+H47</f>
        <v>4480</v>
      </c>
      <c r="I48" s="119"/>
    </row>
    <row r="49" spans="1:9" x14ac:dyDescent="0.2">
      <c r="A49" s="118"/>
      <c r="B49" s="90"/>
      <c r="C49" s="16"/>
      <c r="D49" s="198" t="s">
        <v>84</v>
      </c>
      <c r="E49" s="199"/>
      <c r="F49" s="199"/>
      <c r="G49" s="200"/>
      <c r="H49" s="14">
        <v>2.35</v>
      </c>
      <c r="I49" s="119"/>
    </row>
    <row r="50" spans="1:9" x14ac:dyDescent="0.2">
      <c r="A50" s="118"/>
      <c r="B50" s="17"/>
      <c r="C50" s="16"/>
      <c r="D50" s="198" t="s">
        <v>53</v>
      </c>
      <c r="E50" s="199"/>
      <c r="F50" s="199"/>
      <c r="G50" s="200"/>
      <c r="H50" s="14">
        <f>H48*H49</f>
        <v>10528</v>
      </c>
      <c r="I50" s="119"/>
    </row>
    <row r="51" spans="1:9" ht="15" thickBot="1" x14ac:dyDescent="0.25">
      <c r="A51" s="235"/>
      <c r="B51" s="236"/>
      <c r="C51" s="236"/>
      <c r="D51" s="236"/>
      <c r="E51" s="236"/>
      <c r="F51" s="236"/>
      <c r="G51" s="236"/>
      <c r="H51" s="236"/>
      <c r="I51" s="237"/>
    </row>
    <row r="52" spans="1:9" ht="53.45" customHeight="1" thickTop="1" thickBot="1" x14ac:dyDescent="0.25">
      <c r="A52" s="141">
        <v>14</v>
      </c>
      <c r="B52" s="104" t="s">
        <v>86</v>
      </c>
      <c r="C52" s="82" t="s">
        <v>1</v>
      </c>
      <c r="D52" s="214"/>
      <c r="E52" s="215"/>
      <c r="F52" s="215"/>
      <c r="G52" s="215"/>
      <c r="H52" s="216"/>
      <c r="I52" s="111">
        <f>H56</f>
        <v>10368</v>
      </c>
    </row>
    <row r="53" spans="1:9" x14ac:dyDescent="0.2">
      <c r="A53" s="135"/>
      <c r="B53" s="90"/>
      <c r="C53" s="16"/>
      <c r="D53" s="13">
        <v>1</v>
      </c>
      <c r="E53" s="13">
        <v>8000</v>
      </c>
      <c r="F53" s="13">
        <v>9</v>
      </c>
      <c r="G53" s="13">
        <v>0.06</v>
      </c>
      <c r="H53" s="14">
        <f>D53*E53*F53*G53</f>
        <v>4320</v>
      </c>
      <c r="I53" s="119"/>
    </row>
    <row r="54" spans="1:9" x14ac:dyDescent="0.2">
      <c r="A54" s="135"/>
      <c r="B54" s="90"/>
      <c r="C54" s="16"/>
      <c r="D54" s="198" t="s">
        <v>51</v>
      </c>
      <c r="E54" s="199"/>
      <c r="F54" s="199"/>
      <c r="G54" s="200"/>
      <c r="H54" s="14">
        <f>H53</f>
        <v>4320</v>
      </c>
      <c r="I54" s="119"/>
    </row>
    <row r="55" spans="1:9" x14ac:dyDescent="0.2">
      <c r="A55" s="135"/>
      <c r="B55" s="90"/>
      <c r="C55" s="16"/>
      <c r="D55" s="198" t="s">
        <v>52</v>
      </c>
      <c r="E55" s="199"/>
      <c r="F55" s="199"/>
      <c r="G55" s="200"/>
      <c r="H55" s="14">
        <v>2.4</v>
      </c>
      <c r="I55" s="119"/>
    </row>
    <row r="56" spans="1:9" x14ac:dyDescent="0.2">
      <c r="A56" s="135"/>
      <c r="B56" s="17"/>
      <c r="C56" s="16"/>
      <c r="D56" s="198" t="s">
        <v>53</v>
      </c>
      <c r="E56" s="199"/>
      <c r="F56" s="199"/>
      <c r="G56" s="200"/>
      <c r="H56" s="14">
        <f>H54*H55</f>
        <v>10368</v>
      </c>
      <c r="I56" s="119"/>
    </row>
    <row r="57" spans="1:9" ht="15" thickBot="1" x14ac:dyDescent="0.25">
      <c r="A57" s="235"/>
      <c r="B57" s="236"/>
      <c r="C57" s="236"/>
      <c r="D57" s="236"/>
      <c r="E57" s="236"/>
      <c r="F57" s="236"/>
      <c r="G57" s="236"/>
      <c r="H57" s="236"/>
      <c r="I57" s="237"/>
    </row>
    <row r="58" spans="1:9" ht="34.35" customHeight="1" thickTop="1" x14ac:dyDescent="0.2">
      <c r="A58" s="124">
        <v>15</v>
      </c>
      <c r="B58" s="103" t="s">
        <v>87</v>
      </c>
      <c r="C58" s="81" t="s">
        <v>1</v>
      </c>
      <c r="D58" s="250" t="s">
        <v>92</v>
      </c>
      <c r="E58" s="250"/>
      <c r="F58" s="250" t="s">
        <v>93</v>
      </c>
      <c r="G58" s="250"/>
      <c r="H58" s="250" t="s">
        <v>94</v>
      </c>
      <c r="I58" s="125">
        <f>H61</f>
        <v>1088.2012578616352</v>
      </c>
    </row>
    <row r="59" spans="1:9" x14ac:dyDescent="0.2">
      <c r="A59" s="118"/>
      <c r="B59" s="105" t="s">
        <v>54</v>
      </c>
      <c r="C59" s="75"/>
      <c r="D59" s="252">
        <f>+I46</f>
        <v>10528</v>
      </c>
      <c r="E59" s="251"/>
      <c r="F59" s="253">
        <f>+H56</f>
        <v>10368</v>
      </c>
      <c r="G59" s="253"/>
      <c r="H59" s="251"/>
      <c r="I59" s="126"/>
    </row>
    <row r="60" spans="1:9" x14ac:dyDescent="0.2">
      <c r="A60" s="135"/>
      <c r="B60" s="105" t="s">
        <v>55</v>
      </c>
      <c r="C60" s="75"/>
      <c r="D60" s="251">
        <v>0.05</v>
      </c>
      <c r="E60" s="251"/>
      <c r="F60" s="251">
        <v>0.06</v>
      </c>
      <c r="G60" s="251"/>
      <c r="H60" s="251"/>
      <c r="I60" s="126"/>
    </row>
    <row r="61" spans="1:9" ht="15" thickBot="1" x14ac:dyDescent="0.25">
      <c r="A61" s="127"/>
      <c r="B61" s="148" t="s">
        <v>56</v>
      </c>
      <c r="C61" s="128"/>
      <c r="D61" s="246">
        <f>+(D59/(1.05))*0.05</f>
        <v>501.33333333333331</v>
      </c>
      <c r="E61" s="246">
        <f t="shared" ref="E61:G61" si="0">+(E59/(1.06))*0.06</f>
        <v>0</v>
      </c>
      <c r="F61" s="247">
        <f>+(F59/(1.06))*0.06</f>
        <v>586.86792452830184</v>
      </c>
      <c r="G61" s="247">
        <f t="shared" si="0"/>
        <v>0</v>
      </c>
      <c r="H61" s="149">
        <f>F61+D61</f>
        <v>1088.2012578616352</v>
      </c>
      <c r="I61" s="117"/>
    </row>
    <row r="62" spans="1:9" ht="4.3499999999999996" customHeight="1" thickTop="1" thickBot="1" x14ac:dyDescent="0.25">
      <c r="A62" s="142"/>
      <c r="B62" s="76"/>
      <c r="C62" s="76"/>
      <c r="D62" s="76"/>
      <c r="E62" s="76"/>
      <c r="F62" s="76"/>
      <c r="G62" s="76"/>
      <c r="H62" s="76"/>
      <c r="I62" s="143"/>
    </row>
    <row r="63" spans="1:9" ht="27.75" customHeight="1" thickBot="1" x14ac:dyDescent="0.25">
      <c r="A63" s="133"/>
      <c r="B63" s="97" t="s">
        <v>80</v>
      </c>
      <c r="C63" s="224"/>
      <c r="D63" s="225"/>
      <c r="E63" s="225"/>
      <c r="F63" s="225"/>
      <c r="G63" s="225"/>
      <c r="H63" s="225"/>
      <c r="I63" s="226"/>
    </row>
    <row r="64" spans="1:9" ht="29.25" thickBot="1" x14ac:dyDescent="0.25">
      <c r="A64" s="118">
        <v>16</v>
      </c>
      <c r="B64" s="17" t="s">
        <v>4</v>
      </c>
      <c r="C64" s="20" t="s">
        <v>5</v>
      </c>
      <c r="D64" s="201" t="s">
        <v>65</v>
      </c>
      <c r="E64" s="202"/>
      <c r="F64" s="202"/>
      <c r="G64" s="202"/>
      <c r="H64" s="203"/>
      <c r="I64" s="136" t="e">
        <f>#REF!</f>
        <v>#REF!</v>
      </c>
    </row>
    <row r="65" spans="1:9" ht="24" customHeight="1" thickBot="1" x14ac:dyDescent="0.25">
      <c r="A65" s="118">
        <v>17</v>
      </c>
      <c r="B65" s="17" t="s">
        <v>7</v>
      </c>
      <c r="C65" s="20" t="s">
        <v>0</v>
      </c>
      <c r="D65" s="201" t="s">
        <v>65</v>
      </c>
      <c r="E65" s="202"/>
      <c r="F65" s="202"/>
      <c r="G65" s="202"/>
      <c r="H65" s="203"/>
      <c r="I65" s="136" t="e">
        <f>#REF!</f>
        <v>#REF!</v>
      </c>
    </row>
    <row r="66" spans="1:9" ht="24" customHeight="1" thickBot="1" x14ac:dyDescent="0.25">
      <c r="A66" s="118">
        <v>18</v>
      </c>
      <c r="B66" s="17" t="s">
        <v>50</v>
      </c>
      <c r="C66" s="20" t="s">
        <v>0</v>
      </c>
      <c r="D66" s="201" t="s">
        <v>65</v>
      </c>
      <c r="E66" s="202"/>
      <c r="F66" s="202"/>
      <c r="G66" s="202"/>
      <c r="H66" s="203"/>
      <c r="I66" s="136" t="e">
        <f>#REF!</f>
        <v>#REF!</v>
      </c>
    </row>
    <row r="67" spans="1:9" ht="24" customHeight="1" thickBot="1" x14ac:dyDescent="0.25">
      <c r="A67" s="118">
        <v>19</v>
      </c>
      <c r="B67" s="17" t="s">
        <v>82</v>
      </c>
      <c r="C67" s="20" t="s">
        <v>6</v>
      </c>
      <c r="D67" s="201" t="s">
        <v>65</v>
      </c>
      <c r="E67" s="202"/>
      <c r="F67" s="202"/>
      <c r="G67" s="202"/>
      <c r="H67" s="203"/>
      <c r="I67" s="136" t="e">
        <f>#REF!</f>
        <v>#REF!</v>
      </c>
    </row>
    <row r="68" spans="1:9" ht="24" customHeight="1" thickBot="1" x14ac:dyDescent="0.25">
      <c r="A68" s="118">
        <v>20</v>
      </c>
      <c r="B68" s="17" t="s">
        <v>63</v>
      </c>
      <c r="C68" s="20" t="s">
        <v>6</v>
      </c>
      <c r="D68" s="201" t="s">
        <v>65</v>
      </c>
      <c r="E68" s="202"/>
      <c r="F68" s="202"/>
      <c r="G68" s="202"/>
      <c r="H68" s="203"/>
      <c r="I68" s="136" t="e">
        <f>#REF!</f>
        <v>#REF!</v>
      </c>
    </row>
    <row r="69" spans="1:9" ht="24" customHeight="1" thickBot="1" x14ac:dyDescent="0.25">
      <c r="A69" s="118">
        <v>21</v>
      </c>
      <c r="B69" s="17" t="s">
        <v>12</v>
      </c>
      <c r="C69" s="20" t="s">
        <v>0</v>
      </c>
      <c r="D69" s="201" t="s">
        <v>65</v>
      </c>
      <c r="E69" s="202"/>
      <c r="F69" s="202"/>
      <c r="G69" s="202"/>
      <c r="H69" s="203"/>
      <c r="I69" s="136" t="e">
        <f>#REF!</f>
        <v>#REF!</v>
      </c>
    </row>
    <row r="70" spans="1:9" ht="24" customHeight="1" thickBot="1" x14ac:dyDescent="0.25">
      <c r="A70" s="118">
        <v>22</v>
      </c>
      <c r="B70" s="17" t="s">
        <v>8</v>
      </c>
      <c r="C70" s="20" t="s">
        <v>0</v>
      </c>
      <c r="D70" s="201" t="s">
        <v>65</v>
      </c>
      <c r="E70" s="202"/>
      <c r="F70" s="202"/>
      <c r="G70" s="202"/>
      <c r="H70" s="203"/>
      <c r="I70" s="136" t="e">
        <f>#REF!</f>
        <v>#REF!</v>
      </c>
    </row>
    <row r="71" spans="1:9" ht="24" customHeight="1" thickBot="1" x14ac:dyDescent="0.25">
      <c r="A71" s="118">
        <v>23</v>
      </c>
      <c r="B71" s="17" t="s">
        <v>18</v>
      </c>
      <c r="C71" s="20" t="s">
        <v>0</v>
      </c>
      <c r="D71" s="201" t="s">
        <v>65</v>
      </c>
      <c r="E71" s="202"/>
      <c r="F71" s="202"/>
      <c r="G71" s="202"/>
      <c r="H71" s="203"/>
      <c r="I71" s="136" t="e">
        <f>#REF!</f>
        <v>#REF!</v>
      </c>
    </row>
    <row r="72" spans="1:9" ht="24" customHeight="1" thickBot="1" x14ac:dyDescent="0.25">
      <c r="A72" s="118">
        <v>24</v>
      </c>
      <c r="B72" s="17" t="s">
        <v>22</v>
      </c>
      <c r="C72" s="20" t="s">
        <v>0</v>
      </c>
      <c r="D72" s="201" t="s">
        <v>65</v>
      </c>
      <c r="E72" s="202"/>
      <c r="F72" s="202"/>
      <c r="G72" s="202"/>
      <c r="H72" s="203"/>
      <c r="I72" s="136" t="e">
        <f>#REF!</f>
        <v>#REF!</v>
      </c>
    </row>
    <row r="73" spans="1:9" ht="24" customHeight="1" thickBot="1" x14ac:dyDescent="0.25">
      <c r="A73" s="118">
        <v>25</v>
      </c>
      <c r="B73" s="17" t="s">
        <v>97</v>
      </c>
      <c r="C73" s="20" t="s">
        <v>13</v>
      </c>
      <c r="D73" s="201" t="s">
        <v>65</v>
      </c>
      <c r="E73" s="202"/>
      <c r="F73" s="202"/>
      <c r="G73" s="202"/>
      <c r="H73" s="203"/>
      <c r="I73" s="136">
        <v>250</v>
      </c>
    </row>
    <row r="74" spans="1:9" ht="24" customHeight="1" thickBot="1" x14ac:dyDescent="0.25">
      <c r="A74" s="118">
        <v>26</v>
      </c>
      <c r="B74" s="17" t="s">
        <v>99</v>
      </c>
      <c r="C74" s="20" t="s">
        <v>5</v>
      </c>
      <c r="D74" s="201" t="s">
        <v>65</v>
      </c>
      <c r="E74" s="202"/>
      <c r="F74" s="202"/>
      <c r="G74" s="202"/>
      <c r="H74" s="203"/>
      <c r="I74" s="136" t="e">
        <f>#REF!</f>
        <v>#REF!</v>
      </c>
    </row>
    <row r="75" spans="1:9" ht="5.0999999999999996" customHeight="1" thickBot="1" x14ac:dyDescent="0.25">
      <c r="A75" s="204"/>
      <c r="B75" s="205"/>
      <c r="C75" s="205"/>
      <c r="D75" s="205"/>
      <c r="E75" s="205"/>
      <c r="F75" s="205"/>
      <c r="G75" s="205"/>
      <c r="H75" s="205"/>
      <c r="I75" s="206"/>
    </row>
    <row r="76" spans="1:9" ht="30.75" customHeight="1" thickBot="1" x14ac:dyDescent="0.25">
      <c r="A76" s="133"/>
      <c r="B76" s="97" t="s">
        <v>81</v>
      </c>
      <c r="C76" s="224"/>
      <c r="D76" s="225"/>
      <c r="E76" s="225"/>
      <c r="F76" s="225"/>
      <c r="G76" s="225"/>
      <c r="H76" s="225"/>
      <c r="I76" s="226"/>
    </row>
    <row r="77" spans="1:9" ht="32.25" customHeight="1" thickBot="1" x14ac:dyDescent="0.25">
      <c r="A77" s="118">
        <v>27</v>
      </c>
      <c r="B77" s="248" t="s">
        <v>100</v>
      </c>
      <c r="C77" s="22" t="s">
        <v>6</v>
      </c>
      <c r="D77" s="198"/>
      <c r="E77" s="199"/>
      <c r="F77" s="199"/>
      <c r="G77" s="199"/>
      <c r="H77" s="227"/>
      <c r="I77" s="136">
        <f>H78</f>
        <v>24000</v>
      </c>
    </row>
    <row r="78" spans="1:9" x14ac:dyDescent="0.2">
      <c r="A78" s="135"/>
      <c r="B78" s="249"/>
      <c r="C78" s="20"/>
      <c r="D78" s="13">
        <v>1</v>
      </c>
      <c r="E78" s="13">
        <f>8000+8000+8000</f>
        <v>24000</v>
      </c>
      <c r="F78" s="13"/>
      <c r="G78" s="13"/>
      <c r="H78" s="14">
        <f>D78*E78</f>
        <v>24000</v>
      </c>
      <c r="I78" s="119"/>
    </row>
    <row r="79" spans="1:9" ht="5.0999999999999996" customHeight="1" thickBot="1" x14ac:dyDescent="0.25">
      <c r="A79" s="204"/>
      <c r="B79" s="205"/>
      <c r="C79" s="205"/>
      <c r="D79" s="205"/>
      <c r="E79" s="205"/>
      <c r="F79" s="205"/>
      <c r="G79" s="205"/>
      <c r="H79" s="205"/>
      <c r="I79" s="206"/>
    </row>
    <row r="80" spans="1:9" ht="15" thickBot="1" x14ac:dyDescent="0.25">
      <c r="A80" s="118">
        <v>28</v>
      </c>
      <c r="B80" s="106" t="s">
        <v>38</v>
      </c>
      <c r="C80" s="23" t="s">
        <v>6</v>
      </c>
      <c r="D80" s="198"/>
      <c r="E80" s="199"/>
      <c r="F80" s="199"/>
      <c r="G80" s="199"/>
      <c r="H80" s="227"/>
      <c r="I80" s="136">
        <f>H81</f>
        <v>5600</v>
      </c>
    </row>
    <row r="81" spans="1:9" x14ac:dyDescent="0.2">
      <c r="A81" s="135"/>
      <c r="B81" s="107"/>
      <c r="C81" s="20"/>
      <c r="D81" s="13">
        <v>0.7</v>
      </c>
      <c r="E81" s="13">
        <v>8000</v>
      </c>
      <c r="F81" s="13"/>
      <c r="G81" s="13"/>
      <c r="H81" s="14">
        <f>D81*E81</f>
        <v>5600</v>
      </c>
      <c r="I81" s="119"/>
    </row>
    <row r="82" spans="1:9" ht="5.0999999999999996" customHeight="1" thickBot="1" x14ac:dyDescent="0.25">
      <c r="A82" s="204"/>
      <c r="B82" s="205"/>
      <c r="C82" s="205"/>
      <c r="D82" s="205"/>
      <c r="E82" s="205"/>
      <c r="F82" s="205"/>
      <c r="G82" s="205"/>
      <c r="H82" s="205"/>
      <c r="I82" s="206"/>
    </row>
    <row r="83" spans="1:9" ht="15" thickBot="1" x14ac:dyDescent="0.25">
      <c r="A83" s="118">
        <v>29</v>
      </c>
      <c r="B83" s="106" t="s">
        <v>39</v>
      </c>
      <c r="C83" s="23" t="s">
        <v>6</v>
      </c>
      <c r="D83" s="198"/>
      <c r="E83" s="199"/>
      <c r="F83" s="199"/>
      <c r="G83" s="199"/>
      <c r="H83" s="227"/>
      <c r="I83" s="136">
        <f>H84</f>
        <v>12307.692307692309</v>
      </c>
    </row>
    <row r="84" spans="1:9" x14ac:dyDescent="0.2">
      <c r="A84" s="135"/>
      <c r="B84" s="107" t="s">
        <v>57</v>
      </c>
      <c r="C84" s="20"/>
      <c r="D84" s="13">
        <v>2</v>
      </c>
      <c r="E84" s="13">
        <v>8000</v>
      </c>
      <c r="F84" s="13"/>
      <c r="G84" s="13"/>
      <c r="H84" s="14">
        <f>D84*E84*20/26</f>
        <v>12307.692307692309</v>
      </c>
      <c r="I84" s="119"/>
    </row>
    <row r="85" spans="1:9" ht="5.0999999999999996" customHeight="1" thickBot="1" x14ac:dyDescent="0.25">
      <c r="A85" s="204"/>
      <c r="B85" s="205"/>
      <c r="C85" s="205"/>
      <c r="D85" s="205"/>
      <c r="E85" s="205"/>
      <c r="F85" s="205"/>
      <c r="G85" s="205"/>
      <c r="H85" s="205"/>
      <c r="I85" s="206"/>
    </row>
    <row r="86" spans="1:9" ht="27" customHeight="1" thickBot="1" x14ac:dyDescent="0.25">
      <c r="A86" s="118">
        <v>30</v>
      </c>
      <c r="B86" s="106" t="s">
        <v>40</v>
      </c>
      <c r="C86" s="23" t="s">
        <v>5</v>
      </c>
      <c r="D86" s="198"/>
      <c r="E86" s="199"/>
      <c r="F86" s="199"/>
      <c r="G86" s="199"/>
      <c r="H86" s="227"/>
      <c r="I86" s="136">
        <f>H87</f>
        <v>307.69230769230768</v>
      </c>
    </row>
    <row r="87" spans="1:9" x14ac:dyDescent="0.2">
      <c r="A87" s="135"/>
      <c r="B87" s="107" t="s">
        <v>142</v>
      </c>
      <c r="C87" s="20"/>
      <c r="D87" s="13">
        <v>2</v>
      </c>
      <c r="E87" s="13">
        <f>8000/52</f>
        <v>153.84615384615384</v>
      </c>
      <c r="F87" s="13"/>
      <c r="G87" s="13"/>
      <c r="H87" s="14">
        <f>D87*E87</f>
        <v>307.69230769230768</v>
      </c>
      <c r="I87" s="119"/>
    </row>
    <row r="88" spans="1:9" ht="5.0999999999999996" customHeight="1" thickBot="1" x14ac:dyDescent="0.25">
      <c r="A88" s="204"/>
      <c r="B88" s="205"/>
      <c r="C88" s="205"/>
      <c r="D88" s="205"/>
      <c r="E88" s="205"/>
      <c r="F88" s="205"/>
      <c r="G88" s="205"/>
      <c r="H88" s="205"/>
      <c r="I88" s="206"/>
    </row>
    <row r="89" spans="1:9" ht="15" thickBot="1" x14ac:dyDescent="0.25">
      <c r="A89" s="118">
        <v>31</v>
      </c>
      <c r="B89" s="106" t="s">
        <v>41</v>
      </c>
      <c r="C89" s="23" t="s">
        <v>5</v>
      </c>
      <c r="D89" s="198"/>
      <c r="E89" s="199"/>
      <c r="F89" s="199"/>
      <c r="G89" s="199"/>
      <c r="H89" s="227"/>
      <c r="I89" s="136">
        <f>H90</f>
        <v>106.66666666666667</v>
      </c>
    </row>
    <row r="90" spans="1:9" x14ac:dyDescent="0.2">
      <c r="A90" s="135"/>
      <c r="B90" s="107" t="s">
        <v>58</v>
      </c>
      <c r="C90" s="20"/>
      <c r="D90" s="13">
        <v>2</v>
      </c>
      <c r="E90" s="13">
        <f>8000/150</f>
        <v>53.333333333333336</v>
      </c>
      <c r="F90" s="13"/>
      <c r="G90" s="13"/>
      <c r="H90" s="14">
        <f>D90*E90</f>
        <v>106.66666666666667</v>
      </c>
      <c r="I90" s="119"/>
    </row>
    <row r="91" spans="1:9" ht="5.0999999999999996" customHeight="1" thickBot="1" x14ac:dyDescent="0.25">
      <c r="A91" s="204"/>
      <c r="B91" s="205"/>
      <c r="C91" s="205"/>
      <c r="D91" s="205"/>
      <c r="E91" s="205"/>
      <c r="F91" s="205"/>
      <c r="G91" s="205"/>
      <c r="H91" s="205"/>
      <c r="I91" s="206"/>
    </row>
    <row r="92" spans="1:9" ht="29.25" thickBot="1" x14ac:dyDescent="0.25">
      <c r="A92" s="118">
        <v>32</v>
      </c>
      <c r="B92" s="106" t="s">
        <v>70</v>
      </c>
      <c r="C92" s="23" t="s">
        <v>5</v>
      </c>
      <c r="D92" s="198"/>
      <c r="E92" s="199"/>
      <c r="F92" s="199"/>
      <c r="G92" s="199"/>
      <c r="H92" s="227"/>
      <c r="I92" s="136">
        <f>H93</f>
        <v>4</v>
      </c>
    </row>
    <row r="93" spans="1:9" ht="15" thickBot="1" x14ac:dyDescent="0.25">
      <c r="A93" s="127"/>
      <c r="B93" s="144"/>
      <c r="C93" s="115"/>
      <c r="D93" s="145">
        <v>4</v>
      </c>
      <c r="E93" s="145"/>
      <c r="F93" s="145"/>
      <c r="G93" s="145"/>
      <c r="H93" s="146">
        <f>D93</f>
        <v>4</v>
      </c>
      <c r="I93" s="147"/>
    </row>
    <row r="94" spans="1:9" ht="15" thickTop="1" x14ac:dyDescent="0.2"/>
  </sheetData>
  <mergeCells count="77">
    <mergeCell ref="D61:E61"/>
    <mergeCell ref="F61:G61"/>
    <mergeCell ref="D73:H73"/>
    <mergeCell ref="B77:B78"/>
    <mergeCell ref="D56:G56"/>
    <mergeCell ref="A57:I57"/>
    <mergeCell ref="D58:E58"/>
    <mergeCell ref="F58:G58"/>
    <mergeCell ref="H58:H60"/>
    <mergeCell ref="D59:E59"/>
    <mergeCell ref="F59:G59"/>
    <mergeCell ref="D60:E60"/>
    <mergeCell ref="F60:G60"/>
    <mergeCell ref="C63:I63"/>
    <mergeCell ref="D65:H65"/>
    <mergeCell ref="D70:H70"/>
    <mergeCell ref="A1:I1"/>
    <mergeCell ref="A2:I2"/>
    <mergeCell ref="C5:I5"/>
    <mergeCell ref="D6:H6"/>
    <mergeCell ref="D34:H34"/>
    <mergeCell ref="D25:H25"/>
    <mergeCell ref="C13:I13"/>
    <mergeCell ref="D8:H8"/>
    <mergeCell ref="D10:H10"/>
    <mergeCell ref="A12:I12"/>
    <mergeCell ref="D14:H14"/>
    <mergeCell ref="D19:H19"/>
    <mergeCell ref="D31:H31"/>
    <mergeCell ref="D68:H68"/>
    <mergeCell ref="A37:I37"/>
    <mergeCell ref="D38:H38"/>
    <mergeCell ref="A41:B41"/>
    <mergeCell ref="D41:E41"/>
    <mergeCell ref="G41:H41"/>
    <mergeCell ref="A44:I44"/>
    <mergeCell ref="A45:I45"/>
    <mergeCell ref="D54:G54"/>
    <mergeCell ref="D55:G55"/>
    <mergeCell ref="D46:H46"/>
    <mergeCell ref="D48:G48"/>
    <mergeCell ref="D49:G49"/>
    <mergeCell ref="D50:G50"/>
    <mergeCell ref="A51:I51"/>
    <mergeCell ref="D52:H52"/>
    <mergeCell ref="D80:H80"/>
    <mergeCell ref="D42:E42"/>
    <mergeCell ref="G42:H42"/>
    <mergeCell ref="D92:H92"/>
    <mergeCell ref="A85:I85"/>
    <mergeCell ref="D86:H86"/>
    <mergeCell ref="A88:I88"/>
    <mergeCell ref="D64:H64"/>
    <mergeCell ref="D83:H83"/>
    <mergeCell ref="D66:H66"/>
    <mergeCell ref="D69:H69"/>
    <mergeCell ref="D67:H67"/>
    <mergeCell ref="D89:H89"/>
    <mergeCell ref="A91:I91"/>
    <mergeCell ref="D72:H72"/>
    <mergeCell ref="D74:H74"/>
    <mergeCell ref="D43:G43"/>
    <mergeCell ref="D71:H71"/>
    <mergeCell ref="A82:I82"/>
    <mergeCell ref="D17:H17"/>
    <mergeCell ref="B20:C20"/>
    <mergeCell ref="B21:C21"/>
    <mergeCell ref="D22:H22"/>
    <mergeCell ref="B23:C23"/>
    <mergeCell ref="B24:C24"/>
    <mergeCell ref="D28:H28"/>
    <mergeCell ref="E27:G27"/>
    <mergeCell ref="D36:E36"/>
    <mergeCell ref="A75:I75"/>
    <mergeCell ref="C76:I76"/>
    <mergeCell ref="D77:H77"/>
    <mergeCell ref="A79:I79"/>
  </mergeCells>
  <printOptions horizontalCentered="1"/>
  <pageMargins left="0.25" right="0.25" top="0.75" bottom="0.75" header="0.3" footer="0.3"/>
  <pageSetup paperSize="9" scale="86" fitToHeight="0" orientation="portrait" r:id="rId1"/>
  <headerFooter>
    <oddFooter>&amp;C&amp;P</oddFooter>
  </headerFooter>
  <rowBreaks count="1" manualBreakCount="1">
    <brk id="2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SheetLayoutView="90" workbookViewId="0">
      <selection activeCell="B27" sqref="B27"/>
    </sheetView>
  </sheetViews>
  <sheetFormatPr baseColWidth="10" defaultRowHeight="15" x14ac:dyDescent="0.25"/>
  <cols>
    <col min="1" max="1" width="15.7109375" customWidth="1"/>
    <col min="2" max="2" width="12.85546875" customWidth="1"/>
    <col min="3" max="3" width="10.85546875" customWidth="1"/>
    <col min="4" max="4" width="11.28515625" customWidth="1"/>
    <col min="5" max="5" width="10.5703125" customWidth="1"/>
    <col min="6" max="6" width="13" customWidth="1"/>
    <col min="7" max="7" width="12.28515625" customWidth="1"/>
    <col min="8" max="8" width="11" customWidth="1"/>
  </cols>
  <sheetData>
    <row r="1" spans="1:8" ht="22.5" customHeight="1" x14ac:dyDescent="0.25">
      <c r="A1" s="49" t="s">
        <v>71</v>
      </c>
      <c r="D1" s="39"/>
    </row>
    <row r="2" spans="1:8" ht="21.75" customHeight="1" x14ac:dyDescent="0.25">
      <c r="A2" s="254" t="s">
        <v>143</v>
      </c>
      <c r="B2" s="255"/>
      <c r="C2" s="255"/>
      <c r="D2" s="255"/>
      <c r="E2" s="255"/>
      <c r="F2" s="255"/>
      <c r="G2" s="255"/>
      <c r="H2" s="256"/>
    </row>
    <row r="3" spans="1:8" ht="18.75" x14ac:dyDescent="0.25">
      <c r="A3" s="50"/>
      <c r="B3" s="51">
        <v>3</v>
      </c>
      <c r="C3" s="257">
        <v>12</v>
      </c>
      <c r="D3" s="257"/>
      <c r="E3" s="257"/>
      <c r="F3" s="52">
        <f>C3*B3</f>
        <v>36</v>
      </c>
      <c r="G3" s="52"/>
      <c r="H3" s="53">
        <f>SUM(F3)</f>
        <v>36</v>
      </c>
    </row>
    <row r="4" spans="1:8" ht="18.75" x14ac:dyDescent="0.3">
      <c r="A4" s="54" t="s">
        <v>7</v>
      </c>
      <c r="B4" s="55"/>
      <c r="C4" s="56" t="s">
        <v>19</v>
      </c>
      <c r="D4" s="56" t="s">
        <v>20</v>
      </c>
      <c r="E4" s="56" t="s">
        <v>72</v>
      </c>
      <c r="F4" s="56"/>
      <c r="G4" s="52"/>
      <c r="H4" s="57"/>
    </row>
    <row r="5" spans="1:8" ht="18.75" x14ac:dyDescent="0.25">
      <c r="A5" s="58" t="s">
        <v>73</v>
      </c>
      <c r="B5" s="59">
        <v>3</v>
      </c>
      <c r="C5" s="60">
        <v>12</v>
      </c>
      <c r="D5" s="60">
        <f>0.1+0.15+0.1+1+0.1+0.15+0.1</f>
        <v>1.7000000000000002</v>
      </c>
      <c r="E5" s="60">
        <f>0.1+0.15+0.1+1+0.1+0.15</f>
        <v>1.6</v>
      </c>
      <c r="F5" s="52">
        <f>E5*D5*C5*B5</f>
        <v>97.920000000000016</v>
      </c>
      <c r="G5" s="52"/>
      <c r="H5" s="57"/>
    </row>
    <row r="6" spans="1:8" ht="18.75" x14ac:dyDescent="0.25">
      <c r="A6" s="61" t="s">
        <v>74</v>
      </c>
      <c r="B6" s="59">
        <v>3</v>
      </c>
      <c r="C6" s="52">
        <v>1.85</v>
      </c>
      <c r="D6" s="52">
        <v>2.2000000000000002</v>
      </c>
      <c r="E6" s="60">
        <v>1.6</v>
      </c>
      <c r="F6" s="52">
        <f>E6*D6*C6*B6</f>
        <v>19.536000000000005</v>
      </c>
      <c r="G6" s="56"/>
      <c r="H6" s="57"/>
    </row>
    <row r="7" spans="1:8" ht="18.75" x14ac:dyDescent="0.25">
      <c r="A7" s="61" t="s">
        <v>137</v>
      </c>
      <c r="B7" s="59">
        <v>3</v>
      </c>
      <c r="C7" s="52">
        <v>1.7</v>
      </c>
      <c r="D7" s="52">
        <v>2.5</v>
      </c>
      <c r="E7" s="52">
        <v>1.2</v>
      </c>
      <c r="F7" s="52">
        <f>E7*D7*C7*B7</f>
        <v>15.299999999999999</v>
      </c>
      <c r="G7" s="56"/>
      <c r="H7" s="57"/>
    </row>
    <row r="8" spans="1:8" ht="18.75" x14ac:dyDescent="0.25">
      <c r="A8" s="62"/>
      <c r="B8" s="63"/>
      <c r="C8" s="56"/>
      <c r="D8" s="56"/>
      <c r="E8" s="56"/>
      <c r="F8" s="56"/>
      <c r="G8" s="56"/>
      <c r="H8" s="53">
        <f>SUM(F5:F7)</f>
        <v>132.75600000000003</v>
      </c>
    </row>
    <row r="9" spans="1:8" ht="18.75" x14ac:dyDescent="0.25">
      <c r="A9" s="64" t="s">
        <v>12</v>
      </c>
      <c r="B9" s="51"/>
      <c r="C9" s="52"/>
      <c r="D9" s="52"/>
      <c r="E9" s="52"/>
      <c r="F9" s="52"/>
      <c r="G9" s="52"/>
      <c r="H9" s="57"/>
    </row>
    <row r="10" spans="1:8" ht="37.5" x14ac:dyDescent="0.25">
      <c r="A10" s="65" t="s">
        <v>75</v>
      </c>
      <c r="B10" s="51">
        <v>3</v>
      </c>
      <c r="C10" s="52">
        <v>2.2000000000000002</v>
      </c>
      <c r="D10" s="52">
        <v>2.2000000000000002</v>
      </c>
      <c r="E10" s="52">
        <v>0.1</v>
      </c>
      <c r="F10" s="52">
        <f>E10*D10*C10*B10</f>
        <v>1.4520000000000004</v>
      </c>
      <c r="G10" s="52"/>
      <c r="H10" s="57"/>
    </row>
    <row r="11" spans="1:8" ht="18.75" x14ac:dyDescent="0.25">
      <c r="A11" s="65" t="s">
        <v>76</v>
      </c>
      <c r="B11" s="51">
        <v>3</v>
      </c>
      <c r="C11" s="66">
        <v>12</v>
      </c>
      <c r="D11" s="52">
        <v>1.7</v>
      </c>
      <c r="E11" s="52">
        <v>0.1</v>
      </c>
      <c r="F11" s="52">
        <f>E11*D11*C11*B11</f>
        <v>6.12</v>
      </c>
      <c r="G11" s="52"/>
      <c r="H11" s="57"/>
    </row>
    <row r="12" spans="1:8" ht="18.75" x14ac:dyDescent="0.25">
      <c r="A12" s="65" t="s">
        <v>137</v>
      </c>
      <c r="B12" s="51">
        <v>3</v>
      </c>
      <c r="C12" s="52">
        <v>1.75</v>
      </c>
      <c r="D12" s="52">
        <v>1.7</v>
      </c>
      <c r="E12" s="52">
        <v>0.1</v>
      </c>
      <c r="F12" s="52">
        <f>E12*D12*C12*B12</f>
        <v>0.89250000000000007</v>
      </c>
      <c r="G12" s="52"/>
      <c r="H12" s="57"/>
    </row>
    <row r="13" spans="1:8" ht="18.75" x14ac:dyDescent="0.25">
      <c r="A13" s="64"/>
      <c r="B13" s="51"/>
      <c r="C13" s="52"/>
      <c r="D13" s="52"/>
      <c r="E13" s="52"/>
      <c r="F13" s="52"/>
      <c r="G13" s="52"/>
      <c r="H13" s="53">
        <f>SUM(F10:F12)</f>
        <v>8.464500000000001</v>
      </c>
    </row>
    <row r="14" spans="1:8" ht="18.75" x14ac:dyDescent="0.25">
      <c r="A14" s="64" t="s">
        <v>8</v>
      </c>
      <c r="B14" s="51"/>
      <c r="C14" s="52"/>
      <c r="D14" s="52"/>
      <c r="E14" s="52"/>
      <c r="F14" s="52"/>
      <c r="G14" s="52"/>
      <c r="H14" s="57"/>
    </row>
    <row r="15" spans="1:8" ht="18.75" x14ac:dyDescent="0.25">
      <c r="A15" s="65" t="s">
        <v>9</v>
      </c>
      <c r="B15" s="67">
        <v>3</v>
      </c>
      <c r="C15" s="52">
        <v>12</v>
      </c>
      <c r="D15" s="52">
        <f>0.15+0.1+1+0.1+0.15</f>
        <v>1.5</v>
      </c>
      <c r="E15" s="52">
        <f>0.15+0.1+1+0.1+0.15</f>
        <v>1.5</v>
      </c>
      <c r="F15" s="52">
        <f>E15*D15*C15*B15</f>
        <v>81</v>
      </c>
      <c r="G15" s="52"/>
      <c r="H15" s="57"/>
    </row>
    <row r="16" spans="1:8" ht="18.75" x14ac:dyDescent="0.25">
      <c r="A16" s="65" t="s">
        <v>10</v>
      </c>
      <c r="B16" s="68">
        <v>3</v>
      </c>
      <c r="C16" s="52">
        <v>12</v>
      </c>
      <c r="D16" s="52">
        <v>3.14</v>
      </c>
      <c r="E16" s="52">
        <f>0.6*0.6</f>
        <v>0.36</v>
      </c>
      <c r="F16" s="52"/>
      <c r="G16" s="52">
        <f>E16*D16*C16*B16</f>
        <v>40.694400000000002</v>
      </c>
      <c r="H16" s="57"/>
    </row>
    <row r="17" spans="1:8" ht="37.5" x14ac:dyDescent="0.25">
      <c r="A17" s="65" t="s">
        <v>11</v>
      </c>
      <c r="B17" s="68">
        <v>3</v>
      </c>
      <c r="C17" s="52">
        <v>0.25</v>
      </c>
      <c r="D17" s="52">
        <v>2</v>
      </c>
      <c r="E17" s="52">
        <v>2</v>
      </c>
      <c r="F17" s="52">
        <f>C17*B17*D17*E17</f>
        <v>3</v>
      </c>
      <c r="G17" s="52"/>
      <c r="H17" s="57"/>
    </row>
    <row r="18" spans="1:8" ht="18.75" x14ac:dyDescent="0.25">
      <c r="A18" s="65"/>
      <c r="B18" s="68">
        <v>3</v>
      </c>
      <c r="C18" s="52">
        <v>1.5</v>
      </c>
      <c r="D18" s="52">
        <v>1.5</v>
      </c>
      <c r="E18" s="52">
        <v>0.25</v>
      </c>
      <c r="F18" s="52">
        <f>C18*B18*D18*E18</f>
        <v>1.6875</v>
      </c>
      <c r="G18" s="52"/>
      <c r="H18" s="57"/>
    </row>
    <row r="19" spans="1:8" ht="18.75" x14ac:dyDescent="0.25">
      <c r="A19" s="65"/>
      <c r="B19" s="68">
        <v>6</v>
      </c>
      <c r="C19" s="52">
        <v>2</v>
      </c>
      <c r="D19" s="52">
        <v>1.75</v>
      </c>
      <c r="E19" s="52">
        <v>0.25</v>
      </c>
      <c r="F19" s="52">
        <f>C19*B19*D19*E19</f>
        <v>5.25</v>
      </c>
      <c r="G19" s="52"/>
      <c r="H19" s="57"/>
    </row>
    <row r="20" spans="1:8" ht="18.75" x14ac:dyDescent="0.25">
      <c r="A20" s="65"/>
      <c r="B20" s="68">
        <v>3</v>
      </c>
      <c r="C20" s="52">
        <v>0.25</v>
      </c>
      <c r="D20" s="52">
        <v>2</v>
      </c>
      <c r="E20" s="52">
        <v>0.5</v>
      </c>
      <c r="F20" s="52">
        <f>C20*B20*D20*E20</f>
        <v>0.75</v>
      </c>
      <c r="G20" s="52"/>
      <c r="H20" s="57"/>
    </row>
    <row r="21" spans="1:8" ht="56.25" x14ac:dyDescent="0.25">
      <c r="A21" s="65" t="s">
        <v>77</v>
      </c>
      <c r="B21" s="68">
        <v>6</v>
      </c>
      <c r="C21" s="52">
        <f>(1+0.5)/2</f>
        <v>0.75</v>
      </c>
      <c r="D21" s="52">
        <v>0.25</v>
      </c>
      <c r="E21" s="52">
        <v>0.5</v>
      </c>
      <c r="F21" s="52"/>
      <c r="G21" s="52">
        <f>E21*D21*C21*B21</f>
        <v>0.5625</v>
      </c>
      <c r="H21" s="57"/>
    </row>
    <row r="22" spans="1:8" ht="18.75" x14ac:dyDescent="0.25">
      <c r="A22" s="65"/>
      <c r="B22" s="68"/>
      <c r="C22" s="52"/>
      <c r="D22" s="52"/>
      <c r="E22" s="52"/>
      <c r="F22" s="52"/>
      <c r="G22" s="52"/>
      <c r="H22" s="57"/>
    </row>
    <row r="23" spans="1:8" ht="37.5" x14ac:dyDescent="0.25">
      <c r="A23" s="65" t="s">
        <v>138</v>
      </c>
      <c r="B23" s="68">
        <v>3</v>
      </c>
      <c r="C23" s="173">
        <v>1.5</v>
      </c>
      <c r="D23" s="52">
        <v>1.6</v>
      </c>
      <c r="E23" s="52">
        <v>0.2</v>
      </c>
      <c r="F23" s="52">
        <f>C23*B23*D23*E23</f>
        <v>1.4400000000000002</v>
      </c>
      <c r="G23" s="52"/>
      <c r="H23" s="57"/>
    </row>
    <row r="24" spans="1:8" ht="56.25" x14ac:dyDescent="0.25">
      <c r="A24" s="65" t="s">
        <v>139</v>
      </c>
      <c r="B24" s="68">
        <v>3</v>
      </c>
      <c r="C24" s="174">
        <v>1.5</v>
      </c>
      <c r="D24" s="52">
        <v>1.3</v>
      </c>
      <c r="E24" s="52">
        <v>0.25</v>
      </c>
      <c r="F24" s="52">
        <f t="shared" ref="F24:F26" si="0">C24*B24*D24*E24</f>
        <v>1.4625000000000001</v>
      </c>
      <c r="G24" s="52"/>
      <c r="H24" s="57"/>
    </row>
    <row r="25" spans="1:8" ht="37.5" x14ac:dyDescent="0.25">
      <c r="A25" s="65" t="s">
        <v>140</v>
      </c>
      <c r="B25" s="68">
        <v>3</v>
      </c>
      <c r="C25" s="174">
        <v>1.5</v>
      </c>
      <c r="D25" s="52">
        <v>2</v>
      </c>
      <c r="E25" s="52">
        <v>0.2</v>
      </c>
      <c r="F25" s="52">
        <f t="shared" si="0"/>
        <v>1.8</v>
      </c>
      <c r="G25" s="52"/>
      <c r="H25" s="57"/>
    </row>
    <row r="26" spans="1:8" ht="37.5" x14ac:dyDescent="0.25">
      <c r="A26" s="65" t="s">
        <v>141</v>
      </c>
      <c r="B26" s="68">
        <v>6</v>
      </c>
      <c r="C26" s="52">
        <f>(1.6+0.2)/2</f>
        <v>0.9</v>
      </c>
      <c r="D26" s="52">
        <v>2</v>
      </c>
      <c r="E26" s="52">
        <v>0.2</v>
      </c>
      <c r="F26" s="52">
        <f t="shared" si="0"/>
        <v>2.16</v>
      </c>
      <c r="G26" s="52"/>
      <c r="H26" s="57"/>
    </row>
    <row r="27" spans="1:8" ht="18.75" x14ac:dyDescent="0.25">
      <c r="A27" s="69"/>
      <c r="B27" s="70"/>
      <c r="C27" s="60"/>
      <c r="D27" s="60"/>
      <c r="E27" s="60"/>
      <c r="F27" s="71"/>
      <c r="G27" s="71"/>
      <c r="H27" s="53">
        <f>SUM(F15:F26)-G16-G21</f>
        <v>57.293099999999995</v>
      </c>
    </row>
    <row r="28" spans="1:8" ht="15.75" x14ac:dyDescent="0.25">
      <c r="A28" s="40"/>
      <c r="B28" s="41"/>
      <c r="C28" s="42"/>
      <c r="D28" s="42"/>
      <c r="E28" s="42"/>
      <c r="F28" s="44"/>
      <c r="G28" s="44"/>
      <c r="H28" s="45"/>
    </row>
    <row r="29" spans="1:8" ht="15.75" x14ac:dyDescent="0.25">
      <c r="A29" s="46"/>
      <c r="B29" s="47"/>
      <c r="C29" s="43"/>
      <c r="D29" s="43"/>
      <c r="E29" s="43"/>
      <c r="F29" s="43"/>
      <c r="G29" s="44"/>
      <c r="H29" s="45"/>
    </row>
    <row r="30" spans="1:8" ht="15.75" x14ac:dyDescent="0.25">
      <c r="A30" s="46"/>
      <c r="B30" s="47"/>
      <c r="C30" s="43"/>
      <c r="D30" s="43"/>
      <c r="E30" s="43"/>
      <c r="F30" s="2"/>
      <c r="G30" s="43"/>
      <c r="H30" s="45"/>
    </row>
    <row r="31" spans="1:8" ht="15.75" x14ac:dyDescent="0.25">
      <c r="A31" s="46"/>
      <c r="B31" s="47"/>
      <c r="C31" s="43"/>
      <c r="D31" s="43"/>
      <c r="E31" s="43"/>
      <c r="F31" s="43"/>
      <c r="G31" s="44"/>
      <c r="H31" s="45"/>
    </row>
    <row r="32" spans="1:8" ht="15.75" x14ac:dyDescent="0.25">
      <c r="A32" s="46"/>
      <c r="B32" s="47"/>
      <c r="C32" s="48"/>
      <c r="D32" s="48"/>
      <c r="E32" s="48"/>
      <c r="F32" s="43"/>
      <c r="G32" s="44"/>
      <c r="H32" s="45"/>
    </row>
  </sheetData>
  <mergeCells count="2">
    <mergeCell ref="A2:H2"/>
    <mergeCell ref="C3:E3"/>
  </mergeCells>
  <pageMargins left="0.7" right="0.7" top="0.75" bottom="0.75" header="0.3" footer="0.3"/>
  <pageSetup paperSize="9" scale="8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M20"/>
  <sheetViews>
    <sheetView workbookViewId="0">
      <selection activeCell="H20" sqref="H20"/>
    </sheetView>
  </sheetViews>
  <sheetFormatPr baseColWidth="10" defaultRowHeight="15" x14ac:dyDescent="0.25"/>
  <sheetData>
    <row r="10" spans="5:13" ht="18" x14ac:dyDescent="0.25">
      <c r="E10" s="260" t="s">
        <v>103</v>
      </c>
      <c r="F10" s="260"/>
      <c r="G10" s="85" t="s">
        <v>104</v>
      </c>
      <c r="H10" s="85" t="s">
        <v>105</v>
      </c>
      <c r="I10" s="85" t="s">
        <v>106</v>
      </c>
      <c r="J10" s="85" t="s">
        <v>107</v>
      </c>
      <c r="K10" s="85" t="s">
        <v>108</v>
      </c>
      <c r="L10" s="85" t="s">
        <v>109</v>
      </c>
      <c r="M10" s="85" t="s">
        <v>110</v>
      </c>
    </row>
    <row r="11" spans="5:13" x14ac:dyDescent="0.25">
      <c r="E11" s="260" t="s">
        <v>15</v>
      </c>
      <c r="F11" s="260"/>
      <c r="G11" s="86" t="s">
        <v>115</v>
      </c>
      <c r="H11" s="87">
        <v>34</v>
      </c>
      <c r="I11" s="88" t="e">
        <f>+#REF!</f>
        <v>#REF!</v>
      </c>
      <c r="J11" s="88" t="e">
        <f>+P3+#REF!</f>
        <v>#REF!</v>
      </c>
      <c r="K11" s="88" t="e">
        <f>+#REF!+#REF!+#REF!+#REF!+#REF!+#REF!+#REF!+#REF!+#REF!+#REF!</f>
        <v>#REF!</v>
      </c>
      <c r="L11" s="88" t="e">
        <f>+#REF!+#REF!+#REF!+#REF!+P7+#REF!</f>
        <v>#REF!</v>
      </c>
      <c r="M11" s="88" t="e">
        <f>+#REF!</f>
        <v>#REF!</v>
      </c>
    </row>
    <row r="12" spans="5:13" x14ac:dyDescent="0.25">
      <c r="E12" s="260" t="s">
        <v>111</v>
      </c>
      <c r="F12" s="260"/>
      <c r="G12" s="89" t="s">
        <v>112</v>
      </c>
      <c r="H12" s="89">
        <v>0.39500000000000002</v>
      </c>
      <c r="I12" s="88">
        <v>0.61699999999999999</v>
      </c>
      <c r="J12" s="88">
        <v>0.88700000000000001</v>
      </c>
      <c r="K12" s="88">
        <v>1.21</v>
      </c>
      <c r="L12" s="88">
        <v>1.58</v>
      </c>
      <c r="M12" s="88">
        <v>2.4700000000000002</v>
      </c>
    </row>
    <row r="13" spans="5:13" ht="15.75" thickBot="1" x14ac:dyDescent="0.3">
      <c r="E13" s="260" t="s">
        <v>113</v>
      </c>
      <c r="F13" s="260"/>
      <c r="G13" s="89" t="s">
        <v>116</v>
      </c>
      <c r="H13" s="89"/>
      <c r="I13" s="88" t="e">
        <f t="shared" ref="I13:M13" si="0">I11*I12</f>
        <v>#REF!</v>
      </c>
      <c r="J13" s="88" t="e">
        <f t="shared" si="0"/>
        <v>#REF!</v>
      </c>
      <c r="K13" s="88" t="e">
        <f>K11*K12</f>
        <v>#REF!</v>
      </c>
      <c r="L13" s="88" t="e">
        <f t="shared" si="0"/>
        <v>#REF!</v>
      </c>
      <c r="M13" s="88" t="e">
        <f t="shared" si="0"/>
        <v>#REF!</v>
      </c>
    </row>
    <row r="14" spans="5:13" ht="18.75" thickBot="1" x14ac:dyDescent="0.3">
      <c r="E14" s="261" t="s">
        <v>114</v>
      </c>
      <c r="F14" s="262"/>
      <c r="G14" s="262"/>
      <c r="H14" s="262"/>
      <c r="I14" s="262"/>
      <c r="J14" s="262"/>
      <c r="K14" s="262"/>
      <c r="L14" s="258" t="e">
        <f>+M13+L13+K13+J13+I13</f>
        <v>#REF!</v>
      </c>
      <c r="M14" s="259"/>
    </row>
    <row r="17" spans="7:10" x14ac:dyDescent="0.25">
      <c r="G17">
        <f>30*0.222</f>
        <v>6.66</v>
      </c>
      <c r="H17">
        <f>34*0.395</f>
        <v>13.43</v>
      </c>
    </row>
    <row r="18" spans="7:10" x14ac:dyDescent="0.25">
      <c r="H18">
        <f>G17+H17</f>
        <v>20.09</v>
      </c>
    </row>
    <row r="19" spans="7:10" x14ac:dyDescent="0.25">
      <c r="G19" t="s">
        <v>117</v>
      </c>
      <c r="H19">
        <f>H18*13</f>
        <v>261.17</v>
      </c>
    </row>
    <row r="20" spans="7:10" x14ac:dyDescent="0.25">
      <c r="G20" t="s">
        <v>118</v>
      </c>
      <c r="H20">
        <f>2*1*0.2+8*0.2</f>
        <v>2</v>
      </c>
      <c r="I20">
        <f>H20*1</f>
        <v>2</v>
      </c>
      <c r="J20">
        <f>I20*1100</f>
        <v>2200</v>
      </c>
    </row>
  </sheetData>
  <mergeCells count="6">
    <mergeCell ref="L14:M14"/>
    <mergeCell ref="E10:F10"/>
    <mergeCell ref="E11:F11"/>
    <mergeCell ref="E12:F12"/>
    <mergeCell ref="E13:F13"/>
    <mergeCell ref="E14:K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8"/>
  <sheetViews>
    <sheetView showGridLines="0" tabSelected="1" zoomScale="115" zoomScaleNormal="115" zoomScaleSheetLayoutView="115" workbookViewId="0">
      <selection activeCell="F10" sqref="F10"/>
    </sheetView>
  </sheetViews>
  <sheetFormatPr baseColWidth="10" defaultColWidth="11.42578125" defaultRowHeight="15" x14ac:dyDescent="0.25"/>
  <cols>
    <col min="1" max="1" width="7" customWidth="1"/>
    <col min="2" max="2" width="49" customWidth="1"/>
    <col min="3" max="3" width="5.28515625" customWidth="1"/>
    <col min="4" max="4" width="12.28515625" customWidth="1"/>
    <col min="5" max="5" width="13" customWidth="1"/>
    <col min="6" max="6" width="20.85546875" customWidth="1"/>
  </cols>
  <sheetData>
    <row r="1" spans="1:6" ht="57.6" customHeight="1" x14ac:dyDescent="0.25">
      <c r="A1" s="265" t="s">
        <v>164</v>
      </c>
      <c r="B1" s="265"/>
      <c r="C1" s="265"/>
      <c r="D1" s="265"/>
      <c r="E1" s="265"/>
      <c r="F1" s="265"/>
    </row>
    <row r="2" spans="1:6" ht="15.75" thickBot="1" x14ac:dyDescent="0.3">
      <c r="A2" s="268" t="s">
        <v>165</v>
      </c>
      <c r="B2" s="268"/>
      <c r="C2" s="268"/>
      <c r="D2" s="268"/>
      <c r="E2" s="268"/>
      <c r="F2" s="268"/>
    </row>
    <row r="3" spans="1:6" ht="30" x14ac:dyDescent="0.25">
      <c r="A3" s="175" t="s">
        <v>36</v>
      </c>
      <c r="B3" s="176" t="s">
        <v>23</v>
      </c>
      <c r="C3" s="177" t="s">
        <v>5</v>
      </c>
      <c r="D3" s="177" t="s">
        <v>24</v>
      </c>
      <c r="E3" s="177" t="s">
        <v>25</v>
      </c>
      <c r="F3" s="178" t="s">
        <v>26</v>
      </c>
    </row>
    <row r="4" spans="1:6" ht="17.45" customHeight="1" x14ac:dyDescent="0.25">
      <c r="A4" s="179"/>
      <c r="B4" s="180" t="s">
        <v>47</v>
      </c>
      <c r="C4" s="181"/>
      <c r="D4" s="181"/>
      <c r="E4" s="181"/>
      <c r="F4" s="182"/>
    </row>
    <row r="5" spans="1:6" s="24" customFormat="1" ht="17.45" customHeight="1" x14ac:dyDescent="0.25">
      <c r="A5" s="183">
        <v>1</v>
      </c>
      <c r="B5" s="184" t="s">
        <v>27</v>
      </c>
      <c r="C5" s="185" t="s">
        <v>28</v>
      </c>
      <c r="D5" s="186">
        <v>1</v>
      </c>
      <c r="E5" s="196"/>
      <c r="F5" s="187">
        <f>D5*E5</f>
        <v>0</v>
      </c>
    </row>
    <row r="6" spans="1:6" s="24" customFormat="1" ht="17.45" customHeight="1" x14ac:dyDescent="0.25">
      <c r="A6" s="183">
        <v>2</v>
      </c>
      <c r="B6" s="188" t="s">
        <v>29</v>
      </c>
      <c r="C6" s="185" t="s">
        <v>28</v>
      </c>
      <c r="D6" s="186">
        <v>1</v>
      </c>
      <c r="E6" s="196"/>
      <c r="F6" s="187">
        <f t="shared" ref="F6:F19" si="0">D6*E6</f>
        <v>0</v>
      </c>
    </row>
    <row r="7" spans="1:6" s="24" customFormat="1" ht="17.45" customHeight="1" x14ac:dyDescent="0.25">
      <c r="A7" s="183">
        <v>3</v>
      </c>
      <c r="B7" s="188" t="s">
        <v>30</v>
      </c>
      <c r="C7" s="185" t="s">
        <v>31</v>
      </c>
      <c r="D7" s="186">
        <v>3</v>
      </c>
      <c r="E7" s="196"/>
      <c r="F7" s="187">
        <f t="shared" si="0"/>
        <v>0</v>
      </c>
    </row>
    <row r="8" spans="1:6" s="24" customFormat="1" ht="17.45" customHeight="1" x14ac:dyDescent="0.25">
      <c r="A8" s="189"/>
      <c r="B8" s="180" t="s">
        <v>154</v>
      </c>
      <c r="C8" s="190"/>
      <c r="D8" s="190"/>
      <c r="E8" s="197"/>
      <c r="F8" s="191"/>
    </row>
    <row r="9" spans="1:6" s="24" customFormat="1" ht="17.45" customHeight="1" x14ac:dyDescent="0.25">
      <c r="A9" s="183">
        <v>4</v>
      </c>
      <c r="B9" s="188" t="s">
        <v>152</v>
      </c>
      <c r="C9" s="185" t="s">
        <v>0</v>
      </c>
      <c r="D9" s="186">
        <v>1722.5</v>
      </c>
      <c r="E9" s="196"/>
      <c r="F9" s="187">
        <f>D9*E9</f>
        <v>0</v>
      </c>
    </row>
    <row r="10" spans="1:6" s="24" customFormat="1" ht="17.45" customHeight="1" x14ac:dyDescent="0.25">
      <c r="A10" s="183">
        <v>5</v>
      </c>
      <c r="B10" s="188" t="s">
        <v>151</v>
      </c>
      <c r="C10" s="185" t="s">
        <v>0</v>
      </c>
      <c r="D10" s="186">
        <v>1722.5</v>
      </c>
      <c r="E10" s="196"/>
      <c r="F10" s="187">
        <f>D10*E10</f>
        <v>0</v>
      </c>
    </row>
    <row r="11" spans="1:6" s="24" customFormat="1" ht="35.450000000000003" customHeight="1" x14ac:dyDescent="0.25">
      <c r="A11" s="183">
        <v>6</v>
      </c>
      <c r="B11" s="188" t="s">
        <v>145</v>
      </c>
      <c r="C11" s="185" t="s">
        <v>1</v>
      </c>
      <c r="D11" s="186">
        <v>2392</v>
      </c>
      <c r="E11" s="196"/>
      <c r="F11" s="187">
        <f t="shared" ref="F11:F13" si="1">D11*E11</f>
        <v>0</v>
      </c>
    </row>
    <row r="12" spans="1:6" s="24" customFormat="1" ht="17.45" customHeight="1" x14ac:dyDescent="0.25">
      <c r="A12" s="183">
        <v>7</v>
      </c>
      <c r="B12" s="188" t="s">
        <v>150</v>
      </c>
      <c r="C12" s="185" t="s">
        <v>1</v>
      </c>
      <c r="D12" s="186">
        <v>5</v>
      </c>
      <c r="E12" s="196"/>
      <c r="F12" s="187">
        <f t="shared" si="1"/>
        <v>0</v>
      </c>
    </row>
    <row r="13" spans="1:6" s="24" customFormat="1" ht="17.45" customHeight="1" x14ac:dyDescent="0.25">
      <c r="A13" s="183">
        <v>8</v>
      </c>
      <c r="B13" s="188" t="s">
        <v>149</v>
      </c>
      <c r="C13" s="185" t="s">
        <v>21</v>
      </c>
      <c r="D13" s="186">
        <v>3180</v>
      </c>
      <c r="E13" s="196"/>
      <c r="F13" s="187">
        <f t="shared" si="1"/>
        <v>0</v>
      </c>
    </row>
    <row r="14" spans="1:6" s="24" customFormat="1" ht="17.45" customHeight="1" x14ac:dyDescent="0.25">
      <c r="A14" s="183">
        <v>9</v>
      </c>
      <c r="B14" s="188" t="s">
        <v>148</v>
      </c>
      <c r="C14" s="185" t="s">
        <v>13</v>
      </c>
      <c r="D14" s="186">
        <v>2120</v>
      </c>
      <c r="E14" s="196"/>
      <c r="F14" s="187">
        <f>D14*E14</f>
        <v>0</v>
      </c>
    </row>
    <row r="15" spans="1:6" s="24" customFormat="1" ht="17.45" customHeight="1" x14ac:dyDescent="0.25">
      <c r="A15" s="183">
        <v>10</v>
      </c>
      <c r="B15" s="188" t="s">
        <v>153</v>
      </c>
      <c r="C15" s="185" t="s">
        <v>0</v>
      </c>
      <c r="D15" s="186">
        <v>381</v>
      </c>
      <c r="E15" s="196"/>
      <c r="F15" s="187">
        <f>D15*E15</f>
        <v>0</v>
      </c>
    </row>
    <row r="16" spans="1:6" s="24" customFormat="1" ht="30" x14ac:dyDescent="0.25">
      <c r="A16" s="183">
        <v>11</v>
      </c>
      <c r="B16" s="188" t="s">
        <v>146</v>
      </c>
      <c r="C16" s="185" t="s">
        <v>1</v>
      </c>
      <c r="D16" s="186">
        <v>1832</v>
      </c>
      <c r="E16" s="196"/>
      <c r="F16" s="187">
        <f t="shared" si="0"/>
        <v>0</v>
      </c>
    </row>
    <row r="17" spans="1:6" s="24" customFormat="1" ht="17.45" customHeight="1" x14ac:dyDescent="0.25">
      <c r="A17" s="183">
        <v>12</v>
      </c>
      <c r="B17" s="188" t="s">
        <v>147</v>
      </c>
      <c r="C17" s="185" t="s">
        <v>1</v>
      </c>
      <c r="D17" s="186">
        <v>218</v>
      </c>
      <c r="E17" s="196"/>
      <c r="F17" s="187">
        <f t="shared" si="0"/>
        <v>0</v>
      </c>
    </row>
    <row r="18" spans="1:6" s="24" customFormat="1" ht="17.45" customHeight="1" x14ac:dyDescent="0.25">
      <c r="A18" s="183">
        <v>13</v>
      </c>
      <c r="B18" s="188" t="s">
        <v>155</v>
      </c>
      <c r="C18" s="185" t="s">
        <v>131</v>
      </c>
      <c r="D18" s="186">
        <v>15</v>
      </c>
      <c r="E18" s="196"/>
      <c r="F18" s="187">
        <f t="shared" si="0"/>
        <v>0</v>
      </c>
    </row>
    <row r="19" spans="1:6" s="24" customFormat="1" x14ac:dyDescent="0.25">
      <c r="A19" s="183">
        <v>14</v>
      </c>
      <c r="B19" s="195" t="s">
        <v>156</v>
      </c>
      <c r="C19" s="185" t="s">
        <v>131</v>
      </c>
      <c r="D19" s="186">
        <v>45</v>
      </c>
      <c r="E19" s="196"/>
      <c r="F19" s="187">
        <f t="shared" si="0"/>
        <v>0</v>
      </c>
    </row>
    <row r="20" spans="1:6" s="24" customFormat="1" x14ac:dyDescent="0.25">
      <c r="A20" s="183">
        <v>15</v>
      </c>
      <c r="B20" s="195" t="s">
        <v>159</v>
      </c>
      <c r="C20" s="185" t="s">
        <v>160</v>
      </c>
      <c r="D20" s="186">
        <v>3</v>
      </c>
      <c r="E20" s="196"/>
      <c r="F20" s="187">
        <f t="shared" ref="F20:F21" si="2">D20*E20</f>
        <v>0</v>
      </c>
    </row>
    <row r="21" spans="1:6" s="24" customFormat="1" x14ac:dyDescent="0.25">
      <c r="A21" s="183">
        <v>16</v>
      </c>
      <c r="B21" s="195" t="s">
        <v>161</v>
      </c>
      <c r="C21" s="185" t="s">
        <v>131</v>
      </c>
      <c r="D21" s="186">
        <v>45</v>
      </c>
      <c r="E21" s="196"/>
      <c r="F21" s="187">
        <f t="shared" si="2"/>
        <v>0</v>
      </c>
    </row>
    <row r="22" spans="1:6" s="24" customFormat="1" x14ac:dyDescent="0.25">
      <c r="A22" s="183">
        <v>17</v>
      </c>
      <c r="B22" s="195" t="s">
        <v>162</v>
      </c>
      <c r="C22" s="185" t="s">
        <v>131</v>
      </c>
      <c r="D22" s="186">
        <v>1060</v>
      </c>
      <c r="E22" s="196"/>
      <c r="F22" s="187">
        <f t="shared" ref="F22" si="3">D22*E22</f>
        <v>0</v>
      </c>
    </row>
    <row r="23" spans="1:6" s="24" customFormat="1" x14ac:dyDescent="0.25">
      <c r="A23" s="183">
        <v>18</v>
      </c>
      <c r="B23" s="188" t="s">
        <v>163</v>
      </c>
      <c r="C23" s="185" t="s">
        <v>0</v>
      </c>
      <c r="D23" s="186">
        <v>3</v>
      </c>
      <c r="E23" s="196"/>
      <c r="F23" s="187">
        <f>D23*E23</f>
        <v>0</v>
      </c>
    </row>
    <row r="24" spans="1:6" s="192" customFormat="1" ht="17.45" customHeight="1" x14ac:dyDescent="0.25">
      <c r="A24" s="189"/>
      <c r="B24" s="180" t="s">
        <v>144</v>
      </c>
      <c r="C24" s="190"/>
      <c r="D24" s="190"/>
      <c r="E24" s="197"/>
      <c r="F24" s="191"/>
    </row>
    <row r="25" spans="1:6" s="192" customFormat="1" ht="17.45" customHeight="1" x14ac:dyDescent="0.25">
      <c r="A25" s="183">
        <v>19</v>
      </c>
      <c r="B25" s="188" t="s">
        <v>37</v>
      </c>
      <c r="C25" s="185" t="s">
        <v>6</v>
      </c>
      <c r="D25" s="186">
        <v>1100</v>
      </c>
      <c r="E25" s="196"/>
      <c r="F25" s="187">
        <f t="shared" ref="F25:F26" si="4">D25*E25</f>
        <v>0</v>
      </c>
    </row>
    <row r="26" spans="1:6" s="192" customFormat="1" ht="17.45" customHeight="1" x14ac:dyDescent="0.25">
      <c r="A26" s="183">
        <v>20</v>
      </c>
      <c r="B26" s="188" t="s">
        <v>38</v>
      </c>
      <c r="C26" s="185" t="s">
        <v>6</v>
      </c>
      <c r="D26" s="186">
        <v>770</v>
      </c>
      <c r="E26" s="196"/>
      <c r="F26" s="187">
        <f t="shared" si="4"/>
        <v>0</v>
      </c>
    </row>
    <row r="27" spans="1:6" s="24" customFormat="1" ht="17.45" customHeight="1" x14ac:dyDescent="0.25">
      <c r="A27" s="189"/>
      <c r="B27" s="180" t="s">
        <v>157</v>
      </c>
      <c r="C27" s="190"/>
      <c r="D27" s="190"/>
      <c r="E27" s="197"/>
      <c r="F27" s="191"/>
    </row>
    <row r="28" spans="1:6" s="24" customFormat="1" ht="17.45" customHeight="1" x14ac:dyDescent="0.25">
      <c r="A28" s="183">
        <v>21</v>
      </c>
      <c r="B28" s="188" t="s">
        <v>158</v>
      </c>
      <c r="C28" s="185" t="s">
        <v>5</v>
      </c>
      <c r="D28" s="186">
        <v>10</v>
      </c>
      <c r="E28" s="196"/>
      <c r="F28" s="187">
        <f t="shared" ref="F28" si="5">D28*E28</f>
        <v>0</v>
      </c>
    </row>
    <row r="29" spans="1:6" ht="17.45" customHeight="1" x14ac:dyDescent="0.25">
      <c r="A29" s="266" t="s">
        <v>32</v>
      </c>
      <c r="B29" s="267"/>
      <c r="C29" s="267"/>
      <c r="D29" s="267"/>
      <c r="E29" s="267"/>
      <c r="F29" s="193">
        <f>SUM(F5:F28)</f>
        <v>0</v>
      </c>
    </row>
    <row r="30" spans="1:6" ht="17.45" customHeight="1" x14ac:dyDescent="0.25">
      <c r="A30" s="266" t="s">
        <v>33</v>
      </c>
      <c r="B30" s="267"/>
      <c r="C30" s="267"/>
      <c r="D30" s="267"/>
      <c r="E30" s="267"/>
      <c r="F30" s="193">
        <f>F29*0.2</f>
        <v>0</v>
      </c>
    </row>
    <row r="31" spans="1:6" ht="17.45" customHeight="1" thickBot="1" x14ac:dyDescent="0.3">
      <c r="A31" s="263" t="s">
        <v>34</v>
      </c>
      <c r="B31" s="264"/>
      <c r="C31" s="264"/>
      <c r="D31" s="264"/>
      <c r="E31" s="264"/>
      <c r="F31" s="194">
        <f>F29+F30</f>
        <v>0</v>
      </c>
    </row>
    <row r="45" spans="6:6" x14ac:dyDescent="0.25">
      <c r="F45" s="25"/>
    </row>
    <row r="48" spans="6:6" x14ac:dyDescent="0.25">
      <c r="F48" s="25"/>
    </row>
  </sheetData>
  <sheetProtection sheet="1" objects="1" scenarios="1"/>
  <mergeCells count="5">
    <mergeCell ref="A31:E31"/>
    <mergeCell ref="A1:F1"/>
    <mergeCell ref="A29:E29"/>
    <mergeCell ref="A30:E30"/>
    <mergeCell ref="A2:F2"/>
  </mergeCells>
  <pageMargins left="0.51181102362204722" right="0.43307086614173229" top="0.55000000000000004" bottom="0.47" header="0.31496062992125984" footer="0.31496062992125984"/>
  <pageSetup paperSize="9" scale="87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view="pageBreakPreview" zoomScale="79" zoomScaleNormal="115" workbookViewId="0">
      <selection activeCell="D12" sqref="D12"/>
    </sheetView>
  </sheetViews>
  <sheetFormatPr baseColWidth="10" defaultColWidth="11.42578125" defaultRowHeight="15" x14ac:dyDescent="0.25"/>
  <cols>
    <col min="1" max="1" width="7" customWidth="1"/>
    <col min="2" max="2" width="43.28515625" customWidth="1"/>
    <col min="3" max="3" width="5.28515625" customWidth="1"/>
    <col min="4" max="4" width="12.28515625" customWidth="1"/>
    <col min="5" max="5" width="13" customWidth="1"/>
    <col min="6" max="6" width="20.85546875" customWidth="1"/>
  </cols>
  <sheetData>
    <row r="1" spans="1:11" s="3" customFormat="1" ht="54" customHeight="1" x14ac:dyDescent="0.2">
      <c r="A1" s="273" t="s">
        <v>85</v>
      </c>
      <c r="B1" s="273"/>
      <c r="C1" s="273"/>
      <c r="D1" s="273"/>
      <c r="E1" s="273"/>
      <c r="F1" s="273"/>
    </row>
    <row r="2" spans="1:11" ht="15.75" thickBot="1" x14ac:dyDescent="0.3"/>
    <row r="3" spans="1:11" ht="28.5" x14ac:dyDescent="0.25">
      <c r="A3" s="26" t="s">
        <v>36</v>
      </c>
      <c r="B3" s="27" t="s">
        <v>23</v>
      </c>
      <c r="C3" s="28" t="s">
        <v>5</v>
      </c>
      <c r="D3" s="28" t="s">
        <v>24</v>
      </c>
      <c r="E3" s="28" t="s">
        <v>25</v>
      </c>
      <c r="F3" s="29" t="s">
        <v>26</v>
      </c>
    </row>
    <row r="4" spans="1:11" ht="28.5" x14ac:dyDescent="0.25">
      <c r="A4" s="30"/>
      <c r="B4" s="4" t="s">
        <v>47</v>
      </c>
      <c r="C4" s="5"/>
      <c r="D4" s="5"/>
      <c r="E4" s="5"/>
      <c r="F4" s="31"/>
    </row>
    <row r="5" spans="1:11" s="24" customFormat="1" x14ac:dyDescent="0.25">
      <c r="A5" s="11">
        <v>1</v>
      </c>
      <c r="B5" s="10" t="s">
        <v>27</v>
      </c>
      <c r="C5" s="6" t="s">
        <v>28</v>
      </c>
      <c r="D5" s="8">
        <v>1</v>
      </c>
      <c r="E5" s="8"/>
      <c r="F5" s="34"/>
    </row>
    <row r="6" spans="1:11" s="24" customFormat="1" ht="28.5" x14ac:dyDescent="0.25">
      <c r="A6" s="11">
        <v>2</v>
      </c>
      <c r="B6" s="7" t="s">
        <v>29</v>
      </c>
      <c r="C6" s="6" t="s">
        <v>28</v>
      </c>
      <c r="D6" s="8">
        <v>1</v>
      </c>
      <c r="E6" s="8"/>
      <c r="F6" s="34"/>
    </row>
    <row r="7" spans="1:11" s="24" customFormat="1" x14ac:dyDescent="0.25">
      <c r="A7" s="11">
        <v>3</v>
      </c>
      <c r="B7" s="7" t="s">
        <v>30</v>
      </c>
      <c r="C7" s="6" t="s">
        <v>31</v>
      </c>
      <c r="D7" s="8">
        <f>+Métré!I10</f>
        <v>6</v>
      </c>
      <c r="E7" s="8"/>
      <c r="F7" s="34"/>
    </row>
    <row r="8" spans="1:11" s="24" customFormat="1" ht="15" customHeight="1" x14ac:dyDescent="0.25">
      <c r="A8" s="274" t="s">
        <v>59</v>
      </c>
      <c r="B8" s="275"/>
      <c r="C8" s="275"/>
      <c r="D8" s="275"/>
      <c r="E8" s="275"/>
      <c r="F8" s="35"/>
    </row>
    <row r="9" spans="1:11" s="24" customFormat="1" ht="15" customHeight="1" x14ac:dyDescent="0.25">
      <c r="A9" s="32"/>
      <c r="B9" s="4" t="s">
        <v>60</v>
      </c>
      <c r="C9" s="33"/>
      <c r="D9" s="33"/>
      <c r="E9" s="33"/>
      <c r="F9" s="36"/>
    </row>
    <row r="10" spans="1:11" s="24" customFormat="1" ht="22.5" customHeight="1" x14ac:dyDescent="0.25">
      <c r="A10" s="11">
        <v>4</v>
      </c>
      <c r="B10" s="7" t="s">
        <v>91</v>
      </c>
      <c r="C10" s="6" t="s">
        <v>21</v>
      </c>
      <c r="D10" s="8" t="e">
        <f>Métré!#REF!</f>
        <v>#REF!</v>
      </c>
      <c r="E10" s="8"/>
      <c r="F10" s="34"/>
    </row>
    <row r="11" spans="1:11" s="24" customFormat="1" ht="22.5" customHeight="1" x14ac:dyDescent="0.25">
      <c r="A11" s="11">
        <v>5</v>
      </c>
      <c r="B11" s="7" t="s">
        <v>35</v>
      </c>
      <c r="C11" s="6" t="s">
        <v>13</v>
      </c>
      <c r="D11" s="8" t="e">
        <f>Métré!#REF!</f>
        <v>#REF!</v>
      </c>
      <c r="E11" s="8"/>
      <c r="F11" s="34"/>
    </row>
    <row r="12" spans="1:11" s="24" customFormat="1" ht="22.5" customHeight="1" x14ac:dyDescent="0.25">
      <c r="A12" s="11">
        <v>6</v>
      </c>
      <c r="B12" s="7" t="s">
        <v>88</v>
      </c>
      <c r="C12" s="6" t="s">
        <v>1</v>
      </c>
      <c r="D12" s="8" t="e">
        <f>#REF!</f>
        <v>#REF!</v>
      </c>
      <c r="E12" s="8"/>
      <c r="F12" s="34"/>
      <c r="H12" s="72">
        <v>1030.8616539146792</v>
      </c>
      <c r="I12" s="24">
        <v>0</v>
      </c>
      <c r="J12" s="24">
        <v>0</v>
      </c>
      <c r="K12" s="24">
        <v>0</v>
      </c>
    </row>
    <row r="13" spans="1:11" s="24" customFormat="1" ht="30.6" customHeight="1" x14ac:dyDescent="0.25">
      <c r="A13" s="11">
        <v>7</v>
      </c>
      <c r="B13" s="7" t="e">
        <f>Métré!#REF!</f>
        <v>#REF!</v>
      </c>
      <c r="C13" s="6" t="s">
        <v>1</v>
      </c>
      <c r="D13" s="8" t="e">
        <f>ROUNDUP(Métré!#REF!,0)</f>
        <v>#REF!</v>
      </c>
      <c r="E13" s="8"/>
      <c r="F13" s="34"/>
      <c r="H13" s="72">
        <v>1245.2332162914365</v>
      </c>
      <c r="I13" s="24">
        <v>0</v>
      </c>
      <c r="J13" s="24">
        <v>0</v>
      </c>
      <c r="K13" s="24">
        <v>0</v>
      </c>
    </row>
    <row r="14" spans="1:11" s="24" customFormat="1" ht="30.6" customHeight="1" x14ac:dyDescent="0.25">
      <c r="A14" s="11">
        <v>8</v>
      </c>
      <c r="B14" s="7" t="e">
        <f>Métré!#REF!</f>
        <v>#REF!</v>
      </c>
      <c r="C14" s="6" t="s">
        <v>1</v>
      </c>
      <c r="D14" s="8" t="e">
        <f>Métré!#REF!</f>
        <v>#REF!</v>
      </c>
      <c r="E14" s="8"/>
      <c r="F14" s="34"/>
    </row>
    <row r="15" spans="1:11" s="24" customFormat="1" ht="22.5" customHeight="1" x14ac:dyDescent="0.25">
      <c r="A15" s="11">
        <v>9</v>
      </c>
      <c r="B15" s="7" t="e">
        <f>Métré!#REF!</f>
        <v>#REF!</v>
      </c>
      <c r="C15" s="6" t="s">
        <v>1</v>
      </c>
      <c r="D15" s="8" t="e">
        <f>ROUNDUP(Métré!#REF!,0)</f>
        <v>#REF!</v>
      </c>
      <c r="E15" s="8"/>
      <c r="F15" s="34"/>
    </row>
    <row r="16" spans="1:11" s="24" customFormat="1" ht="15" customHeight="1" x14ac:dyDescent="0.25">
      <c r="A16" s="274" t="s">
        <v>61</v>
      </c>
      <c r="B16" s="275"/>
      <c r="C16" s="275"/>
      <c r="D16" s="275"/>
      <c r="E16" s="275"/>
      <c r="F16" s="35"/>
    </row>
    <row r="17" spans="1:6" s="24" customFormat="1" ht="15" customHeight="1" x14ac:dyDescent="0.25">
      <c r="A17" s="32"/>
      <c r="B17" s="4" t="s">
        <v>67</v>
      </c>
      <c r="C17" s="33"/>
      <c r="D17" s="33"/>
      <c r="E17" s="33"/>
      <c r="F17" s="36"/>
    </row>
    <row r="18" spans="1:6" s="24" customFormat="1" ht="28.5" x14ac:dyDescent="0.25">
      <c r="A18" s="15">
        <v>10</v>
      </c>
      <c r="B18" s="17" t="s">
        <v>4</v>
      </c>
      <c r="C18" s="16" t="s">
        <v>5</v>
      </c>
      <c r="D18" s="8" t="e">
        <f>Métré!I64</f>
        <v>#REF!</v>
      </c>
      <c r="E18" s="8"/>
      <c r="F18" s="34"/>
    </row>
    <row r="19" spans="1:6" s="24" customFormat="1" x14ac:dyDescent="0.25">
      <c r="A19" s="15">
        <v>11</v>
      </c>
      <c r="B19" s="17" t="s">
        <v>7</v>
      </c>
      <c r="C19" s="16" t="s">
        <v>0</v>
      </c>
      <c r="D19" s="8" t="e">
        <f>ROUNDUP(Métré!I65,0)</f>
        <v>#REF!</v>
      </c>
      <c r="E19" s="8"/>
      <c r="F19" s="34"/>
    </row>
    <row r="20" spans="1:6" s="24" customFormat="1" x14ac:dyDescent="0.25">
      <c r="A20" s="15">
        <v>12</v>
      </c>
      <c r="B20" s="17" t="s">
        <v>69</v>
      </c>
      <c r="C20" s="16" t="s">
        <v>0</v>
      </c>
      <c r="D20" s="8" t="e">
        <f>ROUNDUP(Métré!I66,0)</f>
        <v>#REF!</v>
      </c>
      <c r="E20" s="8"/>
      <c r="F20" s="34"/>
    </row>
    <row r="21" spans="1:6" s="24" customFormat="1" x14ac:dyDescent="0.25">
      <c r="A21" s="15">
        <v>13</v>
      </c>
      <c r="B21" s="17" t="s">
        <v>82</v>
      </c>
      <c r="C21" s="16" t="s">
        <v>6</v>
      </c>
      <c r="D21" s="8" t="e">
        <f>Métré!I67</f>
        <v>#REF!</v>
      </c>
      <c r="E21" s="8"/>
      <c r="F21" s="34"/>
    </row>
    <row r="22" spans="1:6" s="24" customFormat="1" x14ac:dyDescent="0.25">
      <c r="A22" s="15">
        <v>14</v>
      </c>
      <c r="B22" s="17" t="s">
        <v>63</v>
      </c>
      <c r="C22" s="16" t="s">
        <v>6</v>
      </c>
      <c r="D22" s="8" t="e">
        <f>Métré!I68</f>
        <v>#REF!</v>
      </c>
      <c r="E22" s="8"/>
      <c r="F22" s="34"/>
    </row>
    <row r="23" spans="1:6" s="24" customFormat="1" x14ac:dyDescent="0.25">
      <c r="A23" s="15">
        <v>15</v>
      </c>
      <c r="B23" s="17" t="s">
        <v>12</v>
      </c>
      <c r="C23" s="16" t="s">
        <v>0</v>
      </c>
      <c r="D23" s="8">
        <v>3.65</v>
      </c>
      <c r="E23" s="8"/>
      <c r="F23" s="34"/>
    </row>
    <row r="24" spans="1:6" s="24" customFormat="1" x14ac:dyDescent="0.25">
      <c r="A24" s="15">
        <v>16</v>
      </c>
      <c r="B24" s="17" t="s">
        <v>8</v>
      </c>
      <c r="C24" s="16" t="s">
        <v>0</v>
      </c>
      <c r="D24" s="8" t="e">
        <f>ROUNDUP(Métré!I70,0)</f>
        <v>#REF!</v>
      </c>
      <c r="E24" s="8"/>
      <c r="F24" s="34"/>
    </row>
    <row r="25" spans="1:6" s="24" customFormat="1" x14ac:dyDescent="0.25">
      <c r="A25" s="15">
        <v>17</v>
      </c>
      <c r="B25" s="17" t="s">
        <v>18</v>
      </c>
      <c r="C25" s="16" t="s">
        <v>0</v>
      </c>
      <c r="D25" s="8" t="e">
        <f>ROUNDUP(Métré!I71,0)</f>
        <v>#REF!</v>
      </c>
      <c r="E25" s="8"/>
      <c r="F25" s="34"/>
    </row>
    <row r="26" spans="1:6" s="24" customFormat="1" x14ac:dyDescent="0.25">
      <c r="A26" s="15">
        <v>18</v>
      </c>
      <c r="B26" s="17" t="s">
        <v>22</v>
      </c>
      <c r="C26" s="16" t="s">
        <v>0</v>
      </c>
      <c r="D26" s="8" t="e">
        <f>ROUNDUP(Métré!I72,0)</f>
        <v>#REF!</v>
      </c>
      <c r="E26" s="8"/>
      <c r="F26" s="34"/>
    </row>
    <row r="27" spans="1:6" s="24" customFormat="1" x14ac:dyDescent="0.25">
      <c r="A27" s="15">
        <v>19</v>
      </c>
      <c r="B27" s="17" t="s">
        <v>64</v>
      </c>
      <c r="C27" s="16" t="s">
        <v>5</v>
      </c>
      <c r="D27" s="8">
        <v>12</v>
      </c>
      <c r="E27" s="8"/>
      <c r="F27" s="34"/>
    </row>
    <row r="28" spans="1:6" s="24" customFormat="1" ht="15" customHeight="1" x14ac:dyDescent="0.25">
      <c r="A28" s="274" t="s">
        <v>68</v>
      </c>
      <c r="B28" s="275"/>
      <c r="C28" s="275"/>
      <c r="D28" s="275"/>
      <c r="E28" s="275"/>
      <c r="F28" s="35"/>
    </row>
    <row r="29" spans="1:6" s="9" customFormat="1" ht="15" customHeight="1" x14ac:dyDescent="0.25">
      <c r="A29" s="32"/>
      <c r="B29" s="4" t="s">
        <v>66</v>
      </c>
      <c r="C29" s="33"/>
      <c r="D29" s="33"/>
      <c r="E29" s="33"/>
      <c r="F29" s="36"/>
    </row>
    <row r="30" spans="1:6" s="9" customFormat="1" ht="16.5" x14ac:dyDescent="0.25">
      <c r="A30" s="11">
        <v>20</v>
      </c>
      <c r="B30" s="7" t="s">
        <v>37</v>
      </c>
      <c r="C30" s="6" t="s">
        <v>6</v>
      </c>
      <c r="D30" s="8">
        <f>+Métré!I77</f>
        <v>24000</v>
      </c>
      <c r="E30" s="8"/>
      <c r="F30" s="34"/>
    </row>
    <row r="31" spans="1:6" s="9" customFormat="1" ht="16.5" x14ac:dyDescent="0.25">
      <c r="A31" s="11">
        <v>21</v>
      </c>
      <c r="B31" s="7" t="s">
        <v>38</v>
      </c>
      <c r="C31" s="6" t="s">
        <v>6</v>
      </c>
      <c r="D31" s="8">
        <f>Métré!I80</f>
        <v>5600</v>
      </c>
      <c r="E31" s="8"/>
      <c r="F31" s="34"/>
    </row>
    <row r="32" spans="1:6" s="9" customFormat="1" ht="16.5" x14ac:dyDescent="0.25">
      <c r="A32" s="11">
        <v>22</v>
      </c>
      <c r="B32" s="7" t="s">
        <v>39</v>
      </c>
      <c r="C32" s="6" t="s">
        <v>6</v>
      </c>
      <c r="D32" s="8">
        <f>ROUNDUP(Métré!I83,0)</f>
        <v>12308</v>
      </c>
      <c r="E32" s="8"/>
      <c r="F32" s="34"/>
    </row>
    <row r="33" spans="1:10" s="9" customFormat="1" ht="16.5" x14ac:dyDescent="0.25">
      <c r="A33" s="11">
        <v>23</v>
      </c>
      <c r="B33" s="7" t="s">
        <v>40</v>
      </c>
      <c r="C33" s="6" t="s">
        <v>5</v>
      </c>
      <c r="D33" s="8">
        <v>616</v>
      </c>
      <c r="E33" s="8"/>
      <c r="F33" s="34"/>
    </row>
    <row r="34" spans="1:10" s="9" customFormat="1" ht="16.5" x14ac:dyDescent="0.25">
      <c r="A34" s="11">
        <v>24</v>
      </c>
      <c r="B34" s="7" t="s">
        <v>41</v>
      </c>
      <c r="C34" s="6" t="s">
        <v>5</v>
      </c>
      <c r="D34" s="8">
        <f>ROUNDUP(Métré!I89,0)</f>
        <v>107</v>
      </c>
      <c r="E34" s="8"/>
      <c r="F34" s="34"/>
    </row>
    <row r="35" spans="1:10" s="9" customFormat="1" ht="52.5" customHeight="1" x14ac:dyDescent="0.25">
      <c r="A35" s="11">
        <v>25</v>
      </c>
      <c r="B35" s="7" t="s">
        <v>42</v>
      </c>
      <c r="C35" s="6" t="s">
        <v>5</v>
      </c>
      <c r="D35" s="8">
        <f>Métré!I92</f>
        <v>4</v>
      </c>
      <c r="E35" s="8"/>
      <c r="F35" s="34"/>
    </row>
    <row r="36" spans="1:10" s="24" customFormat="1" ht="15" customHeight="1" x14ac:dyDescent="0.25">
      <c r="A36" s="274" t="s">
        <v>59</v>
      </c>
      <c r="B36" s="275"/>
      <c r="C36" s="275"/>
      <c r="D36" s="275"/>
      <c r="E36" s="275"/>
      <c r="F36" s="35"/>
    </row>
    <row r="37" spans="1:10" ht="15" customHeight="1" x14ac:dyDescent="0.25">
      <c r="A37" s="269" t="s">
        <v>32</v>
      </c>
      <c r="B37" s="270"/>
      <c r="C37" s="270"/>
      <c r="D37" s="270"/>
      <c r="E37" s="270"/>
      <c r="F37" s="37"/>
      <c r="J37" s="25"/>
    </row>
    <row r="38" spans="1:10" ht="15" customHeight="1" x14ac:dyDescent="0.25">
      <c r="A38" s="269" t="s">
        <v>33</v>
      </c>
      <c r="B38" s="270"/>
      <c r="C38" s="270"/>
      <c r="D38" s="270"/>
      <c r="E38" s="270"/>
      <c r="F38" s="37"/>
    </row>
    <row r="39" spans="1:10" ht="15" customHeight="1" thickBot="1" x14ac:dyDescent="0.3">
      <c r="A39" s="271" t="s">
        <v>34</v>
      </c>
      <c r="B39" s="272"/>
      <c r="C39" s="272"/>
      <c r="D39" s="272"/>
      <c r="E39" s="272"/>
      <c r="F39" s="38"/>
    </row>
    <row r="53" spans="6:6" x14ac:dyDescent="0.25">
      <c r="F53" s="25"/>
    </row>
    <row r="56" spans="6:6" x14ac:dyDescent="0.25">
      <c r="F56" s="25"/>
    </row>
  </sheetData>
  <mergeCells count="8">
    <mergeCell ref="A38:E38"/>
    <mergeCell ref="A39:E39"/>
    <mergeCell ref="A1:F1"/>
    <mergeCell ref="A8:E8"/>
    <mergeCell ref="A16:E16"/>
    <mergeCell ref="A28:E28"/>
    <mergeCell ref="A36:E36"/>
    <mergeCell ref="A37:E37"/>
  </mergeCells>
  <pageMargins left="0.51181102362204722" right="0.43307086614173229" top="0.55000000000000004" bottom="0.47" header="0.31496062992125984" footer="0.31496062992125984"/>
  <pageSetup paperSize="9" scale="91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view="pageBreakPreview" topLeftCell="A21" zoomScale="79" zoomScaleNormal="115" workbookViewId="0">
      <selection activeCell="F59" sqref="F59"/>
    </sheetView>
  </sheetViews>
  <sheetFormatPr baseColWidth="10" defaultColWidth="11.42578125" defaultRowHeight="15" x14ac:dyDescent="0.25"/>
  <cols>
    <col min="1" max="1" width="7" customWidth="1"/>
    <col min="2" max="2" width="49" customWidth="1"/>
    <col min="3" max="3" width="5.28515625" customWidth="1"/>
    <col min="4" max="4" width="12.28515625" customWidth="1"/>
    <col min="5" max="5" width="13" customWidth="1"/>
    <col min="6" max="6" width="20.85546875" customWidth="1"/>
  </cols>
  <sheetData>
    <row r="1" spans="1:11" s="3" customFormat="1" ht="54" customHeight="1" x14ac:dyDescent="0.2">
      <c r="A1" s="273" t="s">
        <v>135</v>
      </c>
      <c r="B1" s="273"/>
      <c r="C1" s="273"/>
      <c r="D1" s="273"/>
      <c r="E1" s="273"/>
      <c r="F1" s="273"/>
    </row>
    <row r="2" spans="1:11" ht="15.75" thickBot="1" x14ac:dyDescent="0.3"/>
    <row r="3" spans="1:11" ht="28.5" x14ac:dyDescent="0.25">
      <c r="A3" s="26" t="s">
        <v>36</v>
      </c>
      <c r="B3" s="27" t="s">
        <v>23</v>
      </c>
      <c r="C3" s="28" t="s">
        <v>5</v>
      </c>
      <c r="D3" s="28" t="s">
        <v>24</v>
      </c>
      <c r="E3" s="28" t="s">
        <v>25</v>
      </c>
      <c r="F3" s="29" t="s">
        <v>26</v>
      </c>
    </row>
    <row r="4" spans="1:11" ht="28.5" x14ac:dyDescent="0.25">
      <c r="A4" s="30"/>
      <c r="B4" s="4" t="s">
        <v>47</v>
      </c>
      <c r="C4" s="5"/>
      <c r="D4" s="5"/>
      <c r="E4" s="5"/>
      <c r="F4" s="31"/>
    </row>
    <row r="5" spans="1:11" s="24" customFormat="1" x14ac:dyDescent="0.25">
      <c r="A5" s="11">
        <v>1</v>
      </c>
      <c r="B5" s="10" t="s">
        <v>27</v>
      </c>
      <c r="C5" s="6" t="s">
        <v>28</v>
      </c>
      <c r="D5" s="8">
        <v>1</v>
      </c>
      <c r="E5" s="8"/>
      <c r="F5" s="34"/>
    </row>
    <row r="6" spans="1:11" s="24" customFormat="1" x14ac:dyDescent="0.25">
      <c r="A6" s="11">
        <v>2</v>
      </c>
      <c r="B6" s="7" t="s">
        <v>29</v>
      </c>
      <c r="C6" s="6" t="s">
        <v>28</v>
      </c>
      <c r="D6" s="8">
        <v>1</v>
      </c>
      <c r="E6" s="8"/>
      <c r="F6" s="34"/>
    </row>
    <row r="7" spans="1:11" s="24" customFormat="1" x14ac:dyDescent="0.25">
      <c r="A7" s="11">
        <v>3</v>
      </c>
      <c r="B7" s="7" t="s">
        <v>30</v>
      </c>
      <c r="C7" s="6" t="s">
        <v>31</v>
      </c>
      <c r="D7" s="8">
        <f>+Métré!I10</f>
        <v>6</v>
      </c>
      <c r="E7" s="8"/>
      <c r="F7" s="34"/>
    </row>
    <row r="8" spans="1:11" s="24" customFormat="1" ht="15" customHeight="1" x14ac:dyDescent="0.25">
      <c r="A8" s="274" t="s">
        <v>59</v>
      </c>
      <c r="B8" s="275"/>
      <c r="C8" s="275"/>
      <c r="D8" s="275"/>
      <c r="E8" s="275"/>
      <c r="F8" s="35"/>
    </row>
    <row r="9" spans="1:11" s="24" customFormat="1" ht="15" customHeight="1" x14ac:dyDescent="0.25">
      <c r="A9" s="32"/>
      <c r="B9" s="4" t="s">
        <v>60</v>
      </c>
      <c r="C9" s="33"/>
      <c r="D9" s="33"/>
      <c r="E9" s="33"/>
      <c r="F9" s="36"/>
    </row>
    <row r="10" spans="1:11" s="24" customFormat="1" ht="30" customHeight="1" x14ac:dyDescent="0.25">
      <c r="A10" s="11">
        <v>4</v>
      </c>
      <c r="B10" s="7" t="e">
        <f>Métré!B14</f>
        <v>#REF!</v>
      </c>
      <c r="C10" s="6" t="s">
        <v>21</v>
      </c>
      <c r="D10" s="8">
        <f>Métré!I14</f>
        <v>56000</v>
      </c>
      <c r="E10" s="8"/>
      <c r="F10" s="34"/>
    </row>
    <row r="11" spans="1:11" s="24" customFormat="1" ht="36" customHeight="1" x14ac:dyDescent="0.25">
      <c r="A11" s="11">
        <v>5</v>
      </c>
      <c r="B11" s="7" t="str">
        <f>Métré!B17</f>
        <v>Décaissement d'épaulement et accotement sur epaisseur  de 11cm</v>
      </c>
      <c r="C11" s="6" t="s">
        <v>21</v>
      </c>
      <c r="D11" s="8">
        <f>Métré!I17</f>
        <v>57440</v>
      </c>
      <c r="E11" s="8"/>
      <c r="F11" s="34"/>
    </row>
    <row r="12" spans="1:11" s="24" customFormat="1" ht="36" customHeight="1" x14ac:dyDescent="0.25">
      <c r="A12" s="11">
        <v>6</v>
      </c>
      <c r="B12" s="7" t="str">
        <f>Métré!B19</f>
        <v>Mise en œuvre de graves non traitées GNF1 0/40</v>
      </c>
      <c r="C12" s="6" t="s">
        <v>0</v>
      </c>
      <c r="D12" s="8">
        <f>+Métré!I19</f>
        <v>22208</v>
      </c>
      <c r="E12" s="8"/>
      <c r="F12" s="34"/>
    </row>
    <row r="13" spans="1:11" s="24" customFormat="1" ht="36" customHeight="1" x14ac:dyDescent="0.25">
      <c r="A13" s="11">
        <v>7</v>
      </c>
      <c r="B13" s="7" t="str">
        <f>+Métré!B22</f>
        <v>Mise en œuvre de graves non traitées GNB pour les voies cyclables</v>
      </c>
      <c r="C13" s="6" t="s">
        <v>0</v>
      </c>
      <c r="D13" s="8">
        <f>+Métré!I22</f>
        <v>3120</v>
      </c>
      <c r="E13" s="8"/>
      <c r="F13" s="34"/>
      <c r="H13" s="72">
        <v>1030.8616539146792</v>
      </c>
      <c r="I13" s="24">
        <v>0</v>
      </c>
      <c r="J13" s="24">
        <v>0</v>
      </c>
      <c r="K13" s="24">
        <v>0</v>
      </c>
    </row>
    <row r="14" spans="1:11" s="24" customFormat="1" ht="30.6" customHeight="1" x14ac:dyDescent="0.25">
      <c r="A14" s="11">
        <v>8</v>
      </c>
      <c r="B14" s="7" t="str">
        <f>+Métré!B25</f>
        <v xml:space="preserve">Fourniture de l’émulsion 55 </v>
      </c>
      <c r="C14" s="6" t="s">
        <v>1</v>
      </c>
      <c r="D14" s="8">
        <f>+Métré!I25</f>
        <v>120</v>
      </c>
      <c r="E14" s="8"/>
      <c r="F14" s="34"/>
      <c r="H14" s="72">
        <v>1245.2332162914365</v>
      </c>
      <c r="I14" s="24">
        <v>0</v>
      </c>
      <c r="J14" s="24">
        <v>0</v>
      </c>
      <c r="K14" s="24">
        <v>0</v>
      </c>
    </row>
    <row r="15" spans="1:11" s="24" customFormat="1" ht="30.6" customHeight="1" x14ac:dyDescent="0.25">
      <c r="A15" s="11">
        <v>9</v>
      </c>
      <c r="B15" s="7" t="e">
        <f>#REF!</f>
        <v>#REF!</v>
      </c>
      <c r="C15" s="6" t="s">
        <v>21</v>
      </c>
      <c r="D15" s="8">
        <f>+Métré!I28</f>
        <v>80000</v>
      </c>
      <c r="E15" s="8"/>
      <c r="F15" s="34"/>
    </row>
    <row r="16" spans="1:11" s="24" customFormat="1" ht="30.6" customHeight="1" x14ac:dyDescent="0.25">
      <c r="A16" s="11">
        <v>10</v>
      </c>
      <c r="B16" s="7" t="str">
        <f>Métré!B31</f>
        <v>Reconstitution d'accotement en remblai ou en déblai</v>
      </c>
      <c r="C16" s="6" t="s">
        <v>13</v>
      </c>
      <c r="D16" s="8">
        <f>+Métré!I31</f>
        <v>16000</v>
      </c>
      <c r="E16" s="8"/>
      <c r="F16" s="34"/>
    </row>
    <row r="17" spans="1:6" s="24" customFormat="1" ht="30.6" customHeight="1" x14ac:dyDescent="0.25">
      <c r="A17" s="11">
        <v>11</v>
      </c>
      <c r="B17" s="7" t="str">
        <f>Métré!B34</f>
        <v xml:space="preserve">Fourniture et mise de MS type 2 pour  accotements </v>
      </c>
      <c r="C17" s="6" t="s">
        <v>0</v>
      </c>
      <c r="D17" s="8">
        <f>Métré!I34</f>
        <v>4711.6912499999999</v>
      </c>
      <c r="E17" s="8"/>
      <c r="F17" s="34"/>
    </row>
    <row r="18" spans="1:6" s="24" customFormat="1" ht="22.5" customHeight="1" x14ac:dyDescent="0.25">
      <c r="A18" s="11">
        <v>12</v>
      </c>
      <c r="B18" s="7" t="str">
        <f>Métré!B38</f>
        <v>Curage et recalibrage des fossés</v>
      </c>
      <c r="C18" s="6" t="s">
        <v>13</v>
      </c>
      <c r="D18" s="8">
        <f>Métré!I38</f>
        <v>15500</v>
      </c>
      <c r="E18" s="8"/>
      <c r="F18" s="34"/>
    </row>
    <row r="19" spans="1:6" s="24" customFormat="1" ht="15" customHeight="1" x14ac:dyDescent="0.25">
      <c r="A19" s="11">
        <v>13</v>
      </c>
      <c r="B19" s="7" t="str">
        <f>Métré!B46</f>
        <v>Mise en oeuvre du GB2 sur 8 cm d'épaisseur</v>
      </c>
      <c r="C19" s="6" t="s">
        <v>1</v>
      </c>
      <c r="D19" s="8">
        <f>Métré!I46</f>
        <v>10528</v>
      </c>
      <c r="E19" s="8"/>
      <c r="F19" s="34"/>
    </row>
    <row r="20" spans="1:6" s="24" customFormat="1" ht="34.35" customHeight="1" x14ac:dyDescent="0.25">
      <c r="A20" s="11">
        <v>14</v>
      </c>
      <c r="B20" s="7" t="str">
        <f>Métré!B52</f>
        <v xml:space="preserve">Mise en oeuvre du BBSG 0/10 Classe 1 sur 5 cm d'épaisseur </v>
      </c>
      <c r="C20" s="6" t="s">
        <v>1</v>
      </c>
      <c r="D20" s="8">
        <f>Métré!I52</f>
        <v>10368</v>
      </c>
      <c r="E20" s="8"/>
      <c r="F20" s="34"/>
    </row>
    <row r="21" spans="1:6" s="24" customFormat="1" ht="19.350000000000001" customHeight="1" x14ac:dyDescent="0.25">
      <c r="A21" s="11">
        <v>15</v>
      </c>
      <c r="B21" s="7" t="str">
        <f>Métré!B58</f>
        <v>Fourniture Bitume pur 35/50 pour BBGS et GB2</v>
      </c>
      <c r="C21" s="6" t="s">
        <v>1</v>
      </c>
      <c r="D21" s="8">
        <f>Métré!I58</f>
        <v>1088.2012578616352</v>
      </c>
      <c r="E21" s="8"/>
      <c r="F21" s="34"/>
    </row>
    <row r="22" spans="1:6" s="24" customFormat="1" ht="14.45" customHeight="1" x14ac:dyDescent="0.25">
      <c r="A22" s="274" t="s">
        <v>61</v>
      </c>
      <c r="B22" s="275"/>
      <c r="C22" s="275"/>
      <c r="D22" s="275"/>
      <c r="E22" s="275"/>
      <c r="F22" s="35"/>
    </row>
    <row r="23" spans="1:6" s="24" customFormat="1" x14ac:dyDescent="0.25">
      <c r="A23" s="32"/>
      <c r="B23" s="4" t="s">
        <v>67</v>
      </c>
      <c r="C23" s="33"/>
      <c r="D23" s="33"/>
      <c r="E23" s="33"/>
      <c r="F23" s="36"/>
    </row>
    <row r="24" spans="1:6" s="24" customFormat="1" x14ac:dyDescent="0.25">
      <c r="A24" s="15">
        <v>16</v>
      </c>
      <c r="B24" s="17" t="s">
        <v>4</v>
      </c>
      <c r="C24" s="16" t="s">
        <v>5</v>
      </c>
      <c r="D24" s="8" t="e">
        <f>Métré!I64</f>
        <v>#REF!</v>
      </c>
      <c r="E24" s="8"/>
      <c r="F24" s="34"/>
    </row>
    <row r="25" spans="1:6" s="24" customFormat="1" x14ac:dyDescent="0.25">
      <c r="A25" s="15">
        <v>17</v>
      </c>
      <c r="B25" s="17" t="s">
        <v>7</v>
      </c>
      <c r="C25" s="16" t="s">
        <v>0</v>
      </c>
      <c r="D25" s="8" t="e">
        <f>ROUNDUP(Métré!I65,0)</f>
        <v>#REF!</v>
      </c>
      <c r="E25" s="8"/>
      <c r="F25" s="34"/>
    </row>
    <row r="26" spans="1:6" s="24" customFormat="1" x14ac:dyDescent="0.25">
      <c r="A26" s="15">
        <v>18</v>
      </c>
      <c r="B26" s="17" t="s">
        <v>69</v>
      </c>
      <c r="C26" s="16" t="s">
        <v>0</v>
      </c>
      <c r="D26" s="8" t="e">
        <f>ROUNDUP(Métré!I66,0)</f>
        <v>#REF!</v>
      </c>
      <c r="E26" s="8"/>
      <c r="F26" s="34"/>
    </row>
    <row r="27" spans="1:6" s="24" customFormat="1" x14ac:dyDescent="0.25">
      <c r="A27" s="15">
        <v>19</v>
      </c>
      <c r="B27" s="17" t="s">
        <v>82</v>
      </c>
      <c r="C27" s="16" t="s">
        <v>6</v>
      </c>
      <c r="D27" s="8" t="e">
        <f>Métré!I67</f>
        <v>#REF!</v>
      </c>
      <c r="E27" s="8"/>
      <c r="F27" s="34"/>
    </row>
    <row r="28" spans="1:6" s="24" customFormat="1" x14ac:dyDescent="0.25">
      <c r="A28" s="15">
        <v>20</v>
      </c>
      <c r="B28" s="17" t="s">
        <v>63</v>
      </c>
      <c r="C28" s="16" t="s">
        <v>6</v>
      </c>
      <c r="D28" s="8" t="e">
        <f>Métré!I68</f>
        <v>#REF!</v>
      </c>
      <c r="E28" s="8"/>
      <c r="F28" s="34"/>
    </row>
    <row r="29" spans="1:6" s="24" customFormat="1" x14ac:dyDescent="0.25">
      <c r="A29" s="15">
        <v>21</v>
      </c>
      <c r="B29" s="17" t="s">
        <v>12</v>
      </c>
      <c r="C29" s="16" t="s">
        <v>0</v>
      </c>
      <c r="D29" s="8">
        <v>3.65</v>
      </c>
      <c r="E29" s="8"/>
      <c r="F29" s="34"/>
    </row>
    <row r="30" spans="1:6" s="24" customFormat="1" x14ac:dyDescent="0.25">
      <c r="A30" s="15">
        <v>22</v>
      </c>
      <c r="B30" s="17" t="s">
        <v>8</v>
      </c>
      <c r="C30" s="16" t="s">
        <v>0</v>
      </c>
      <c r="D30" s="8" t="e">
        <f>ROUNDUP(Métré!I70,0)</f>
        <v>#REF!</v>
      </c>
      <c r="E30" s="8"/>
      <c r="F30" s="34"/>
    </row>
    <row r="31" spans="1:6" s="24" customFormat="1" x14ac:dyDescent="0.25">
      <c r="A31" s="15">
        <v>23</v>
      </c>
      <c r="B31" s="17" t="s">
        <v>18</v>
      </c>
      <c r="C31" s="16" t="s">
        <v>0</v>
      </c>
      <c r="D31" s="8" t="e">
        <f>ROUNDUP(Métré!I71,0)</f>
        <v>#REF!</v>
      </c>
      <c r="E31" s="8"/>
      <c r="F31" s="34"/>
    </row>
    <row r="32" spans="1:6" s="24" customFormat="1" ht="15" customHeight="1" x14ac:dyDescent="0.25">
      <c r="A32" s="15">
        <v>24</v>
      </c>
      <c r="B32" s="17" t="s">
        <v>22</v>
      </c>
      <c r="C32" s="16" t="s">
        <v>0</v>
      </c>
      <c r="D32" s="8" t="e">
        <f>ROUNDUP(Métré!I72,0)</f>
        <v>#REF!</v>
      </c>
      <c r="E32" s="8"/>
      <c r="F32" s="34"/>
    </row>
    <row r="33" spans="1:10" s="9" customFormat="1" ht="15" customHeight="1" x14ac:dyDescent="0.25">
      <c r="A33" s="15">
        <v>25</v>
      </c>
      <c r="B33" s="17" t="str">
        <f>Métré!B73</f>
        <v xml:space="preserve">Construction de Saguia d'irrigation </v>
      </c>
      <c r="C33" s="16" t="s">
        <v>13</v>
      </c>
      <c r="D33" s="8">
        <v>250</v>
      </c>
      <c r="E33" s="8"/>
      <c r="F33" s="34"/>
    </row>
    <row r="34" spans="1:10" s="9" customFormat="1" ht="16.5" x14ac:dyDescent="0.25">
      <c r="A34" s="15">
        <v>26</v>
      </c>
      <c r="B34" s="17" t="s">
        <v>99</v>
      </c>
      <c r="C34" s="16" t="s">
        <v>5</v>
      </c>
      <c r="D34" s="8">
        <v>12</v>
      </c>
      <c r="E34" s="8"/>
      <c r="F34" s="34"/>
    </row>
    <row r="35" spans="1:10" s="9" customFormat="1" ht="14.45" customHeight="1" x14ac:dyDescent="0.25">
      <c r="A35" s="274" t="s">
        <v>68</v>
      </c>
      <c r="B35" s="275"/>
      <c r="C35" s="275"/>
      <c r="D35" s="275"/>
      <c r="E35" s="275"/>
      <c r="F35" s="35"/>
    </row>
    <row r="36" spans="1:10" s="9" customFormat="1" ht="16.5" x14ac:dyDescent="0.25">
      <c r="A36" s="32"/>
      <c r="B36" s="4" t="s">
        <v>66</v>
      </c>
      <c r="C36" s="33"/>
      <c r="D36" s="33"/>
      <c r="E36" s="33"/>
      <c r="F36" s="36"/>
    </row>
    <row r="37" spans="1:10" s="9" customFormat="1" ht="16.5" x14ac:dyDescent="0.25">
      <c r="A37" s="11">
        <v>27</v>
      </c>
      <c r="B37" s="7" t="s">
        <v>37</v>
      </c>
      <c r="C37" s="6" t="s">
        <v>6</v>
      </c>
      <c r="D37" s="8">
        <f>+Métré!I77</f>
        <v>24000</v>
      </c>
      <c r="E37" s="8"/>
      <c r="F37" s="34"/>
    </row>
    <row r="38" spans="1:10" s="9" customFormat="1" ht="16.5" x14ac:dyDescent="0.25">
      <c r="A38" s="11">
        <v>28</v>
      </c>
      <c r="B38" s="7" t="s">
        <v>38</v>
      </c>
      <c r="C38" s="6" t="s">
        <v>6</v>
      </c>
      <c r="D38" s="8">
        <f>Métré!I80</f>
        <v>5600</v>
      </c>
      <c r="E38" s="8"/>
      <c r="F38" s="34"/>
    </row>
    <row r="39" spans="1:10" s="9" customFormat="1" ht="34.35" customHeight="1" x14ac:dyDescent="0.25">
      <c r="A39" s="11">
        <v>29</v>
      </c>
      <c r="B39" s="7" t="s">
        <v>39</v>
      </c>
      <c r="C39" s="6" t="s">
        <v>6</v>
      </c>
      <c r="D39" s="8">
        <f>ROUNDUP(Métré!I83,0)</f>
        <v>12308</v>
      </c>
      <c r="E39" s="8"/>
      <c r="F39" s="34"/>
    </row>
    <row r="40" spans="1:10" s="24" customFormat="1" ht="15" customHeight="1" x14ac:dyDescent="0.25">
      <c r="A40" s="11">
        <v>30</v>
      </c>
      <c r="B40" s="7" t="s">
        <v>40</v>
      </c>
      <c r="C40" s="6" t="s">
        <v>5</v>
      </c>
      <c r="D40" s="8">
        <v>616</v>
      </c>
      <c r="E40" s="8"/>
      <c r="F40" s="34"/>
    </row>
    <row r="41" spans="1:10" ht="15" customHeight="1" x14ac:dyDescent="0.25">
      <c r="A41" s="11">
        <v>31</v>
      </c>
      <c r="B41" s="7" t="s">
        <v>41</v>
      </c>
      <c r="C41" s="6" t="s">
        <v>5</v>
      </c>
      <c r="D41" s="8">
        <f>ROUNDUP(Métré!I89,0)</f>
        <v>107</v>
      </c>
      <c r="E41" s="8"/>
      <c r="F41" s="34"/>
      <c r="J41" s="25"/>
    </row>
    <row r="42" spans="1:10" ht="35.450000000000003" customHeight="1" x14ac:dyDescent="0.25">
      <c r="A42" s="11">
        <v>32</v>
      </c>
      <c r="B42" s="7" t="s">
        <v>42</v>
      </c>
      <c r="C42" s="6" t="s">
        <v>5</v>
      </c>
      <c r="D42" s="8">
        <f>Métré!I92</f>
        <v>4</v>
      </c>
      <c r="E42" s="8"/>
      <c r="F42" s="34"/>
    </row>
    <row r="43" spans="1:10" ht="15" customHeight="1" x14ac:dyDescent="0.25">
      <c r="A43" s="274" t="s">
        <v>59</v>
      </c>
      <c r="B43" s="275"/>
      <c r="C43" s="275"/>
      <c r="D43" s="275"/>
      <c r="E43" s="275"/>
      <c r="F43" s="35"/>
    </row>
    <row r="44" spans="1:10" x14ac:dyDescent="0.25">
      <c r="A44" s="269" t="s">
        <v>32</v>
      </c>
      <c r="B44" s="270"/>
      <c r="C44" s="270"/>
      <c r="D44" s="270"/>
      <c r="E44" s="270"/>
      <c r="F44" s="37"/>
    </row>
    <row r="45" spans="1:10" x14ac:dyDescent="0.25">
      <c r="A45" s="269" t="s">
        <v>33</v>
      </c>
      <c r="B45" s="270"/>
      <c r="C45" s="270"/>
      <c r="D45" s="270"/>
      <c r="E45" s="270"/>
      <c r="F45" s="37"/>
    </row>
    <row r="46" spans="1:10" ht="15.75" thickBot="1" x14ac:dyDescent="0.3">
      <c r="A46" s="271" t="s">
        <v>34</v>
      </c>
      <c r="B46" s="272"/>
      <c r="C46" s="272"/>
      <c r="D46" s="272"/>
      <c r="E46" s="272"/>
      <c r="F46" s="38"/>
    </row>
    <row r="57" spans="6:6" x14ac:dyDescent="0.25">
      <c r="F57" s="25"/>
    </row>
    <row r="60" spans="6:6" x14ac:dyDescent="0.25">
      <c r="F60" s="25"/>
    </row>
  </sheetData>
  <mergeCells count="8">
    <mergeCell ref="A44:E44"/>
    <mergeCell ref="A45:E45"/>
    <mergeCell ref="A46:E46"/>
    <mergeCell ref="A43:E43"/>
    <mergeCell ref="A1:F1"/>
    <mergeCell ref="A8:E8"/>
    <mergeCell ref="A22:E22"/>
    <mergeCell ref="A35:E35"/>
  </mergeCells>
  <pageMargins left="0.51181102362204722" right="0.43307086614173229" top="0.55000000000000004" bottom="0.47" header="0.31496062992125984" footer="0.31496062992125984"/>
  <pageSetup paperSize="9" scale="81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32"/>
  <sheetViews>
    <sheetView view="pageBreakPreview" topLeftCell="A4" zoomScale="40" zoomScaleSheetLayoutView="40" workbookViewId="0">
      <selection activeCell="Q4" sqref="Q4"/>
    </sheetView>
  </sheetViews>
  <sheetFormatPr baseColWidth="10" defaultColWidth="11.42578125" defaultRowHeight="14.25" x14ac:dyDescent="0.2"/>
  <cols>
    <col min="1" max="1" width="45.28515625" style="3" customWidth="1"/>
    <col min="2" max="2" width="49.42578125" style="12" customWidth="1"/>
    <col min="3" max="3" width="31.28515625" style="3" customWidth="1"/>
    <col min="4" max="4" width="23.42578125" style="3" customWidth="1"/>
    <col min="5" max="5" width="23.7109375" style="3" customWidth="1"/>
    <col min="6" max="6" width="23.85546875" style="3" customWidth="1"/>
    <col min="7" max="7" width="11.7109375" style="3" bestFit="1" customWidth="1"/>
    <col min="8" max="8" width="22.28515625" style="3" customWidth="1"/>
    <col min="9" max="9" width="26" style="3" customWidth="1"/>
    <col min="10" max="16384" width="11.42578125" style="3"/>
  </cols>
  <sheetData>
    <row r="2" spans="1:9" ht="29.25" customHeight="1" x14ac:dyDescent="0.2">
      <c r="A2" s="276" t="s">
        <v>96</v>
      </c>
      <c r="B2" s="276"/>
      <c r="C2" s="276"/>
      <c r="D2" s="276"/>
      <c r="E2" s="276"/>
      <c r="F2" s="276"/>
    </row>
    <row r="3" spans="1:9" ht="29.1" customHeight="1" thickBot="1" x14ac:dyDescent="0.25">
      <c r="A3" s="74"/>
      <c r="B3" s="74"/>
      <c r="C3" s="74"/>
      <c r="D3" s="74"/>
      <c r="E3" s="74"/>
      <c r="F3" s="74"/>
    </row>
    <row r="4" spans="1:9" ht="29.1" customHeight="1" thickBot="1" x14ac:dyDescent="0.25">
      <c r="A4" s="158"/>
      <c r="B4" s="158"/>
      <c r="C4" s="158"/>
      <c r="D4" s="158"/>
      <c r="E4" s="158"/>
      <c r="F4" s="158"/>
      <c r="G4" s="159"/>
      <c r="H4" s="159"/>
      <c r="I4" s="159"/>
    </row>
    <row r="5" spans="1:9" ht="65.45" customHeight="1" thickBot="1" x14ac:dyDescent="0.25">
      <c r="A5" s="277" t="s">
        <v>23</v>
      </c>
      <c r="B5" s="277"/>
      <c r="C5" s="160" t="s">
        <v>2</v>
      </c>
      <c r="D5" s="160" t="s">
        <v>14</v>
      </c>
      <c r="E5" s="160" t="s">
        <v>19</v>
      </c>
      <c r="F5" s="160" t="s">
        <v>20</v>
      </c>
      <c r="G5" s="160" t="s">
        <v>45</v>
      </c>
      <c r="H5" s="161" t="s">
        <v>46</v>
      </c>
      <c r="I5" s="162" t="s">
        <v>3</v>
      </c>
    </row>
    <row r="6" spans="1:9" ht="28.35" customHeight="1" thickBot="1" x14ac:dyDescent="0.25">
      <c r="A6" s="278" t="s">
        <v>119</v>
      </c>
      <c r="B6" s="278"/>
      <c r="C6" s="163" t="s">
        <v>21</v>
      </c>
      <c r="D6" s="163">
        <v>2</v>
      </c>
      <c r="E6" s="164">
        <v>8000</v>
      </c>
      <c r="F6" s="165">
        <v>3.5</v>
      </c>
      <c r="G6" s="163"/>
      <c r="H6" s="165">
        <f>F6*E6*D6</f>
        <v>56000</v>
      </c>
      <c r="I6" s="166">
        <f>H6</f>
        <v>56000</v>
      </c>
    </row>
    <row r="7" spans="1:9" ht="57.6" customHeight="1" thickBot="1" x14ac:dyDescent="0.25">
      <c r="A7" s="278" t="s">
        <v>120</v>
      </c>
      <c r="B7" s="278"/>
      <c r="C7" s="163" t="s">
        <v>21</v>
      </c>
      <c r="D7" s="163">
        <v>2</v>
      </c>
      <c r="E7" s="164">
        <v>8000</v>
      </c>
      <c r="F7" s="165">
        <v>3.585</v>
      </c>
      <c r="G7" s="163"/>
      <c r="H7" s="165">
        <f>F7*E7*D7</f>
        <v>57360</v>
      </c>
      <c r="I7" s="166">
        <f>H7</f>
        <v>57360</v>
      </c>
    </row>
    <row r="8" spans="1:9" ht="47.1" customHeight="1" thickBot="1" x14ac:dyDescent="0.25">
      <c r="A8" s="278" t="s">
        <v>121</v>
      </c>
      <c r="B8" s="278"/>
      <c r="C8" s="163" t="s">
        <v>0</v>
      </c>
      <c r="D8" s="163">
        <v>1</v>
      </c>
      <c r="E8" s="164">
        <v>8000</v>
      </c>
      <c r="F8" s="165">
        <v>7</v>
      </c>
      <c r="G8" s="163">
        <v>0.2</v>
      </c>
      <c r="H8" s="165">
        <f>+E8*F8*G8</f>
        <v>11200</v>
      </c>
      <c r="I8" s="166">
        <f>H8</f>
        <v>11200</v>
      </c>
    </row>
    <row r="9" spans="1:9" ht="47.1" customHeight="1" thickBot="1" x14ac:dyDescent="0.25">
      <c r="A9" s="278" t="s">
        <v>122</v>
      </c>
      <c r="B9" s="278"/>
      <c r="C9" s="163" t="s">
        <v>0</v>
      </c>
      <c r="D9" s="163">
        <v>2</v>
      </c>
      <c r="E9" s="164">
        <v>8000</v>
      </c>
      <c r="F9" s="165">
        <f>(3.59+3.29)/2</f>
        <v>3.44</v>
      </c>
      <c r="G9" s="163">
        <v>0.2</v>
      </c>
      <c r="H9" s="165">
        <f>+E9*F9*G9*D9</f>
        <v>11008</v>
      </c>
      <c r="I9" s="166">
        <f>H9</f>
        <v>11008</v>
      </c>
    </row>
    <row r="10" spans="1:9" ht="47.1" customHeight="1" thickBot="1" x14ac:dyDescent="0.25">
      <c r="A10" s="278" t="s">
        <v>124</v>
      </c>
      <c r="B10" s="278"/>
      <c r="C10" s="163" t="s">
        <v>0</v>
      </c>
      <c r="D10" s="163">
        <v>2</v>
      </c>
      <c r="E10" s="164">
        <v>8000</v>
      </c>
      <c r="F10" s="165">
        <v>1.5</v>
      </c>
      <c r="G10" s="163">
        <v>0.13</v>
      </c>
      <c r="H10" s="165">
        <f>+E10*F10*G10*D10</f>
        <v>3120</v>
      </c>
      <c r="I10" s="166">
        <f>H10</f>
        <v>3120</v>
      </c>
    </row>
    <row r="11" spans="1:9" ht="21" customHeight="1" thickBot="1" x14ac:dyDescent="0.25">
      <c r="A11" s="163"/>
      <c r="B11" s="167"/>
      <c r="C11" s="163"/>
      <c r="D11" s="159"/>
      <c r="E11" s="159"/>
      <c r="F11" s="159"/>
      <c r="G11" s="159"/>
      <c r="H11" s="159"/>
      <c r="I11" s="168"/>
    </row>
    <row r="12" spans="1:9" ht="44.1" customHeight="1" thickBot="1" x14ac:dyDescent="0.25">
      <c r="A12" s="278" t="s">
        <v>136</v>
      </c>
      <c r="B12" s="278"/>
      <c r="C12" s="163" t="s">
        <v>1</v>
      </c>
      <c r="D12" s="163">
        <v>2</v>
      </c>
      <c r="E12" s="164">
        <v>8000</v>
      </c>
      <c r="F12" s="165">
        <v>5</v>
      </c>
      <c r="G12" s="163">
        <v>1.5</v>
      </c>
      <c r="H12" s="165">
        <f>F12*E12*D12*G12/1000</f>
        <v>120</v>
      </c>
      <c r="I12" s="166">
        <f>H12</f>
        <v>120</v>
      </c>
    </row>
    <row r="13" spans="1:9" ht="44.1" customHeight="1" thickBot="1" x14ac:dyDescent="0.25">
      <c r="A13" s="278" t="s">
        <v>101</v>
      </c>
      <c r="B13" s="278"/>
      <c r="C13" s="163" t="s">
        <v>21</v>
      </c>
      <c r="D13" s="163">
        <v>2</v>
      </c>
      <c r="E13" s="164">
        <v>8000</v>
      </c>
      <c r="F13" s="165">
        <v>5</v>
      </c>
      <c r="G13" s="163"/>
      <c r="H13" s="165">
        <f>F13*E13*D13</f>
        <v>80000</v>
      </c>
      <c r="I13" s="166">
        <f>H13</f>
        <v>80000</v>
      </c>
    </row>
    <row r="14" spans="1:9" ht="45.6" customHeight="1" thickBot="1" x14ac:dyDescent="0.25">
      <c r="A14" s="278" t="s">
        <v>127</v>
      </c>
      <c r="B14" s="278"/>
      <c r="C14" s="163" t="s">
        <v>13</v>
      </c>
      <c r="D14" s="163">
        <v>2</v>
      </c>
      <c r="E14" s="164">
        <v>8000</v>
      </c>
      <c r="F14" s="165"/>
      <c r="G14" s="163"/>
      <c r="H14" s="165">
        <f>E14*D14</f>
        <v>16000</v>
      </c>
      <c r="I14" s="166">
        <f>H14</f>
        <v>16000</v>
      </c>
    </row>
    <row r="15" spans="1:9" ht="45.6" customHeight="1" thickBot="1" x14ac:dyDescent="0.25">
      <c r="A15" s="278" t="s">
        <v>128</v>
      </c>
      <c r="B15" s="278"/>
      <c r="C15" s="163" t="s">
        <v>13</v>
      </c>
      <c r="D15" s="163">
        <v>2</v>
      </c>
      <c r="E15" s="164">
        <v>8000</v>
      </c>
      <c r="F15" s="165"/>
      <c r="G15" s="163"/>
      <c r="H15" s="165">
        <f>E15*D15</f>
        <v>16000</v>
      </c>
      <c r="I15" s="166">
        <f>+H15-H16</f>
        <v>15500</v>
      </c>
    </row>
    <row r="16" spans="1:9" ht="28.5" customHeight="1" thickBot="1" x14ac:dyDescent="0.25">
      <c r="A16" s="163"/>
      <c r="B16" s="167"/>
      <c r="C16" s="163"/>
      <c r="D16" s="163"/>
      <c r="E16" s="163" t="s">
        <v>129</v>
      </c>
      <c r="F16" s="163" t="s">
        <v>130</v>
      </c>
      <c r="G16" s="163"/>
      <c r="H16" s="165">
        <v>500</v>
      </c>
      <c r="I16" s="168"/>
    </row>
    <row r="17" spans="1:14" ht="28.35" customHeight="1" thickBot="1" x14ac:dyDescent="0.25">
      <c r="A17" s="278" t="s">
        <v>123</v>
      </c>
      <c r="B17" s="278"/>
      <c r="C17" s="163" t="s">
        <v>21</v>
      </c>
      <c r="D17" s="163">
        <v>2</v>
      </c>
      <c r="E17" s="164">
        <v>8000</v>
      </c>
      <c r="F17" s="165">
        <f>(1.5+1.5+0.29)/2</f>
        <v>1.645</v>
      </c>
      <c r="G17" s="163">
        <v>0.19</v>
      </c>
      <c r="H17" s="165">
        <f>(16000-F18)*F17*G17</f>
        <v>4711.6912499999999</v>
      </c>
      <c r="I17" s="166">
        <f>H17</f>
        <v>4711.6912499999999</v>
      </c>
    </row>
    <row r="18" spans="1:14" ht="28.5" customHeight="1" thickBot="1" x14ac:dyDescent="0.25">
      <c r="A18" s="163"/>
      <c r="B18" s="167"/>
      <c r="C18" s="163"/>
      <c r="D18" s="163"/>
      <c r="E18" s="163" t="s">
        <v>129</v>
      </c>
      <c r="F18" s="163">
        <v>925</v>
      </c>
      <c r="G18" s="163" t="s">
        <v>131</v>
      </c>
      <c r="H18" s="165"/>
      <c r="I18" s="168"/>
      <c r="M18" s="3">
        <f>16000-925</f>
        <v>15075</v>
      </c>
      <c r="N18" s="3">
        <f>M18*F17*G17</f>
        <v>4711.6912499999999</v>
      </c>
    </row>
    <row r="19" spans="1:14" ht="29.45" customHeight="1" thickBot="1" x14ac:dyDescent="0.25">
      <c r="A19" s="279" t="s">
        <v>83</v>
      </c>
      <c r="B19" s="279"/>
      <c r="C19" s="163" t="s">
        <v>1</v>
      </c>
      <c r="D19" s="280"/>
      <c r="E19" s="280"/>
      <c r="F19" s="280"/>
      <c r="G19" s="280"/>
      <c r="H19" s="280"/>
      <c r="I19" s="166">
        <f>+H23</f>
        <v>10528</v>
      </c>
    </row>
    <row r="20" spans="1:14" ht="21" thickBot="1" x14ac:dyDescent="0.25">
      <c r="A20" s="163"/>
      <c r="B20" s="169"/>
      <c r="C20" s="163"/>
      <c r="D20" s="163">
        <v>1</v>
      </c>
      <c r="E20" s="163">
        <v>8000</v>
      </c>
      <c r="F20" s="163">
        <v>7</v>
      </c>
      <c r="G20" s="163">
        <v>0.08</v>
      </c>
      <c r="H20" s="165">
        <f>D20*E20*F20*G20</f>
        <v>4480</v>
      </c>
      <c r="I20" s="77"/>
    </row>
    <row r="21" spans="1:14" ht="21" thickBot="1" x14ac:dyDescent="0.25">
      <c r="A21" s="163"/>
      <c r="B21" s="167"/>
      <c r="C21" s="163"/>
      <c r="D21" s="280" t="s">
        <v>51</v>
      </c>
      <c r="E21" s="280"/>
      <c r="F21" s="280"/>
      <c r="G21" s="280"/>
      <c r="H21" s="165">
        <f>H19+H20</f>
        <v>4480</v>
      </c>
      <c r="I21" s="168"/>
    </row>
    <row r="22" spans="1:14" ht="21" thickBot="1" x14ac:dyDescent="0.25">
      <c r="A22" s="163"/>
      <c r="B22" s="167"/>
      <c r="C22" s="163"/>
      <c r="D22" s="280" t="s">
        <v>84</v>
      </c>
      <c r="E22" s="280"/>
      <c r="F22" s="280"/>
      <c r="G22" s="280"/>
      <c r="H22" s="165">
        <v>2.35</v>
      </c>
      <c r="I22" s="168"/>
    </row>
    <row r="23" spans="1:14" ht="21" thickBot="1" x14ac:dyDescent="0.25">
      <c r="A23" s="163"/>
      <c r="B23" s="169"/>
      <c r="C23" s="163"/>
      <c r="D23" s="280" t="s">
        <v>53</v>
      </c>
      <c r="E23" s="280"/>
      <c r="F23" s="280"/>
      <c r="G23" s="280"/>
      <c r="H23" s="165">
        <f>H21*H22</f>
        <v>10528</v>
      </c>
      <c r="I23" s="168"/>
    </row>
    <row r="24" spans="1:14" ht="53.45" customHeight="1" thickBot="1" x14ac:dyDescent="0.25">
      <c r="A24" s="279" t="s">
        <v>86</v>
      </c>
      <c r="B24" s="279"/>
      <c r="C24" s="163" t="s">
        <v>1</v>
      </c>
      <c r="D24" s="280"/>
      <c r="E24" s="280"/>
      <c r="F24" s="280"/>
      <c r="G24" s="280"/>
      <c r="H24" s="280"/>
      <c r="I24" s="166">
        <f>H28</f>
        <v>10368</v>
      </c>
    </row>
    <row r="25" spans="1:14" ht="21" thickBot="1" x14ac:dyDescent="0.25">
      <c r="A25" s="163"/>
      <c r="B25" s="167"/>
      <c r="C25" s="163"/>
      <c r="D25" s="163">
        <v>1</v>
      </c>
      <c r="E25" s="163">
        <v>8000</v>
      </c>
      <c r="F25" s="163">
        <v>9</v>
      </c>
      <c r="G25" s="163">
        <v>0.06</v>
      </c>
      <c r="H25" s="165">
        <f>D25*E25*F25*G25</f>
        <v>4320</v>
      </c>
      <c r="I25" s="168"/>
    </row>
    <row r="26" spans="1:14" ht="21" thickBot="1" x14ac:dyDescent="0.25">
      <c r="A26" s="163"/>
      <c r="B26" s="167"/>
      <c r="C26" s="163"/>
      <c r="D26" s="280" t="s">
        <v>51</v>
      </c>
      <c r="E26" s="280"/>
      <c r="F26" s="280"/>
      <c r="G26" s="280"/>
      <c r="H26" s="165">
        <f>H25</f>
        <v>4320</v>
      </c>
      <c r="I26" s="168"/>
    </row>
    <row r="27" spans="1:14" ht="21" thickBot="1" x14ac:dyDescent="0.25">
      <c r="A27" s="163"/>
      <c r="B27" s="167"/>
      <c r="C27" s="163"/>
      <c r="D27" s="280" t="s">
        <v>52</v>
      </c>
      <c r="E27" s="280"/>
      <c r="F27" s="280"/>
      <c r="G27" s="280"/>
      <c r="H27" s="165">
        <v>2.4</v>
      </c>
      <c r="I27" s="168"/>
    </row>
    <row r="28" spans="1:14" ht="21" thickBot="1" x14ac:dyDescent="0.25">
      <c r="A28" s="163"/>
      <c r="B28" s="169"/>
      <c r="C28" s="163"/>
      <c r="D28" s="280" t="s">
        <v>53</v>
      </c>
      <c r="E28" s="280"/>
      <c r="F28" s="280"/>
      <c r="G28" s="280"/>
      <c r="H28" s="165">
        <f>H26*H27</f>
        <v>10368</v>
      </c>
      <c r="I28" s="168"/>
    </row>
    <row r="29" spans="1:14" ht="34.35" customHeight="1" thickBot="1" x14ac:dyDescent="0.25">
      <c r="A29" s="284" t="s">
        <v>87</v>
      </c>
      <c r="B29" s="284"/>
      <c r="C29" s="163" t="s">
        <v>1</v>
      </c>
      <c r="D29" s="280" t="s">
        <v>92</v>
      </c>
      <c r="E29" s="280"/>
      <c r="F29" s="280" t="s">
        <v>93</v>
      </c>
      <c r="G29" s="280"/>
      <c r="H29" s="280" t="s">
        <v>94</v>
      </c>
      <c r="I29" s="166">
        <f>H32</f>
        <v>1088.2012578616352</v>
      </c>
    </row>
    <row r="30" spans="1:14" ht="21" thickBot="1" x14ac:dyDescent="0.25">
      <c r="A30" s="163"/>
      <c r="B30" s="170" t="s">
        <v>54</v>
      </c>
      <c r="C30" s="163"/>
      <c r="D30" s="281">
        <f>+I19</f>
        <v>10528</v>
      </c>
      <c r="E30" s="280"/>
      <c r="F30" s="282">
        <f>+H28</f>
        <v>10368</v>
      </c>
      <c r="G30" s="282"/>
      <c r="H30" s="280"/>
      <c r="I30" s="168"/>
    </row>
    <row r="31" spans="1:14" ht="21" thickBot="1" x14ac:dyDescent="0.25">
      <c r="A31" s="163"/>
      <c r="B31" s="170" t="s">
        <v>55</v>
      </c>
      <c r="C31" s="163"/>
      <c r="D31" s="280">
        <v>0.05</v>
      </c>
      <c r="E31" s="280"/>
      <c r="F31" s="280">
        <v>0.06</v>
      </c>
      <c r="G31" s="280"/>
      <c r="H31" s="280"/>
      <c r="I31" s="168"/>
    </row>
    <row r="32" spans="1:14" ht="21" thickBot="1" x14ac:dyDescent="0.25">
      <c r="A32" s="163"/>
      <c r="B32" s="171" t="s">
        <v>56</v>
      </c>
      <c r="C32" s="163"/>
      <c r="D32" s="282">
        <f>+(D30/(1.05))*0.05</f>
        <v>501.33333333333331</v>
      </c>
      <c r="E32" s="282">
        <f t="shared" ref="E32:G32" si="0">+(E30/(1.06))*0.06</f>
        <v>0</v>
      </c>
      <c r="F32" s="283">
        <f>+(F30/(1.06))*0.06</f>
        <v>586.86792452830184</v>
      </c>
      <c r="G32" s="283">
        <f t="shared" si="0"/>
        <v>0</v>
      </c>
      <c r="H32" s="172">
        <f>F32+D32</f>
        <v>1088.2012578616352</v>
      </c>
      <c r="I32" s="168"/>
    </row>
  </sheetData>
  <mergeCells count="32">
    <mergeCell ref="D32:E32"/>
    <mergeCell ref="F32:G32"/>
    <mergeCell ref="D28:G28"/>
    <mergeCell ref="A29:B29"/>
    <mergeCell ref="D29:E29"/>
    <mergeCell ref="F29:G29"/>
    <mergeCell ref="H29:H31"/>
    <mergeCell ref="D30:E30"/>
    <mergeCell ref="F30:G30"/>
    <mergeCell ref="D31:E31"/>
    <mergeCell ref="F31:G31"/>
    <mergeCell ref="D23:G23"/>
    <mergeCell ref="A24:B24"/>
    <mergeCell ref="D24:H24"/>
    <mergeCell ref="D26:G26"/>
    <mergeCell ref="D27:G27"/>
    <mergeCell ref="A19:B19"/>
    <mergeCell ref="D19:H19"/>
    <mergeCell ref="D21:G21"/>
    <mergeCell ref="D22:G22"/>
    <mergeCell ref="A15:B15"/>
    <mergeCell ref="A17:B17"/>
    <mergeCell ref="A13:B13"/>
    <mergeCell ref="A14:B14"/>
    <mergeCell ref="A8:B8"/>
    <mergeCell ref="A9:B9"/>
    <mergeCell ref="A10:B10"/>
    <mergeCell ref="A2:F2"/>
    <mergeCell ref="A5:B5"/>
    <mergeCell ref="A6:B6"/>
    <mergeCell ref="A7:B7"/>
    <mergeCell ref="A12:B12"/>
  </mergeCells>
  <pageMargins left="0.53" right="0.35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9</vt:i4>
      </vt:variant>
    </vt:vector>
  </HeadingPairs>
  <TitlesOfParts>
    <vt:vector size="16" baseType="lpstr">
      <vt:lpstr>Métré</vt:lpstr>
      <vt:lpstr>Buse D1000</vt:lpstr>
      <vt:lpstr>Feuil2</vt:lpstr>
      <vt:lpstr>BPDE</vt:lpstr>
      <vt:lpstr>BRD prix  (2)</vt:lpstr>
      <vt:lpstr>BRD prix </vt:lpstr>
      <vt:lpstr>Chaussée (2)</vt:lpstr>
      <vt:lpstr>BPDE!_GoBack</vt:lpstr>
      <vt:lpstr>'BRD prix '!_GoBack</vt:lpstr>
      <vt:lpstr>'BRD prix  (2)'!_GoBack</vt:lpstr>
      <vt:lpstr>BPDE!Zone_d_impression</vt:lpstr>
      <vt:lpstr>'BRD prix '!Zone_d_impression</vt:lpstr>
      <vt:lpstr>'BRD prix  (2)'!Zone_d_impression</vt:lpstr>
      <vt:lpstr>'Buse D1000'!Zone_d_impression</vt:lpstr>
      <vt:lpstr>'Chaussée (2)'!Zone_d_impression</vt:lpstr>
      <vt:lpstr>Métré!Zone_d_impression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HPD</dc:creator>
  <cp:lastModifiedBy>PC</cp:lastModifiedBy>
  <cp:lastPrinted>2026-06-16T11:00:01Z</cp:lastPrinted>
  <dcterms:created xsi:type="dcterms:W3CDTF">2018-12-04T14:28:27Z</dcterms:created>
  <dcterms:modified xsi:type="dcterms:W3CDTF">2026-06-16T11:25:44Z</dcterms:modified>
</cp:coreProperties>
</file>