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0" yWindow="0" windowWidth="23040" windowHeight="8370" tabRatio="739" firstSheet="5" activeTab="5"/>
  </bookViews>
  <sheets>
    <sheet name="ann" sheetId="22" state="hidden" r:id="rId1"/>
    <sheet name="al firdaous" sheetId="24" state="hidden" r:id="rId2"/>
    <sheet name="OUED SOUS" sheetId="25" state="hidden" r:id="rId3"/>
    <sheet name="BET FIRDAOUS" sheetId="27" state="hidden" r:id="rId4"/>
    <sheet name="BET ANOUAR SOUS" sheetId="28" state="hidden" r:id="rId5"/>
    <sheet name="ESTIMATION" sheetId="29" r:id="rId6"/>
  </sheets>
  <externalReferences>
    <externalReference r:id="rId7"/>
    <externalReference r:id="rId8"/>
    <externalReference r:id="rId9"/>
  </externalReferences>
  <definedNames>
    <definedName name="_xlnm.Print_Titles" localSheetId="5">ESTIMATION!$6:$10</definedName>
    <definedName name="_xlnm.Print_Area" localSheetId="1">'al firdaous'!$A$1:$M$1421</definedName>
    <definedName name="_xlnm.Print_Area" localSheetId="0">ann!$A$1:$H$273</definedName>
    <definedName name="_xlnm.Print_Area" localSheetId="5">ESTIMATION!$A$1:$F$227</definedName>
    <definedName name="_xlnm.Print_Area" localSheetId="2">'OUED SOUS'!$A$1:$M$1765</definedName>
  </definedNames>
  <calcPr calcId="145621"/>
</workbook>
</file>

<file path=xl/calcChain.xml><?xml version="1.0" encoding="utf-8"?>
<calcChain xmlns="http://schemas.openxmlformats.org/spreadsheetml/2006/main">
  <c r="F26" i="29" l="1"/>
  <c r="F23" i="29"/>
  <c r="F14" i="29"/>
  <c r="F15" i="29" l="1"/>
  <c r="F163" i="29" l="1"/>
  <c r="F189" i="29"/>
  <c r="F194" i="29"/>
  <c r="F193" i="29"/>
  <c r="F191" i="29"/>
  <c r="F190" i="29"/>
  <c r="F171" i="29"/>
  <c r="F172" i="29"/>
  <c r="F134" i="29"/>
  <c r="F133" i="29"/>
  <c r="F73" i="29" l="1"/>
  <c r="F101" i="29"/>
  <c r="F209" i="29"/>
  <c r="F208" i="29"/>
  <c r="F207" i="29"/>
  <c r="F204" i="29"/>
  <c r="F201" i="29"/>
  <c r="F200" i="29"/>
  <c r="F218" i="29" s="1"/>
  <c r="F199" i="29"/>
  <c r="F198" i="29"/>
  <c r="F197" i="29"/>
  <c r="F188" i="29"/>
  <c r="F187" i="29"/>
  <c r="F217" i="29"/>
  <c r="F185" i="29"/>
  <c r="F184" i="29"/>
  <c r="F183" i="29"/>
  <c r="F182" i="29"/>
  <c r="F181" i="29"/>
  <c r="F180" i="29"/>
  <c r="F178" i="29"/>
  <c r="F177" i="29"/>
  <c r="F176" i="29"/>
  <c r="F175" i="29"/>
  <c r="F174" i="29"/>
  <c r="F173" i="29"/>
  <c r="F170" i="29"/>
  <c r="F215" i="29" s="1"/>
  <c r="F169" i="29"/>
  <c r="F168" i="29"/>
  <c r="F165" i="29"/>
  <c r="F164" i="29"/>
  <c r="F162" i="29"/>
  <c r="F161" i="29"/>
  <c r="F157" i="29"/>
  <c r="F155" i="29"/>
  <c r="F154" i="29"/>
  <c r="F153" i="29"/>
  <c r="F152" i="29"/>
  <c r="F151" i="29"/>
  <c r="F150" i="29"/>
  <c r="F148" i="29"/>
  <c r="F147" i="29"/>
  <c r="F214" i="29" s="1"/>
  <c r="F146" i="29"/>
  <c r="F144" i="29"/>
  <c r="F143" i="29"/>
  <c r="F142" i="29"/>
  <c r="F141" i="29"/>
  <c r="F140" i="29"/>
  <c r="F213" i="29" s="1"/>
  <c r="F138" i="29"/>
  <c r="F137" i="29"/>
  <c r="F136" i="29"/>
  <c r="F135" i="29"/>
  <c r="F132" i="29"/>
  <c r="F131" i="29"/>
  <c r="F130" i="29"/>
  <c r="F129" i="29"/>
  <c r="F124" i="29"/>
  <c r="F123" i="29"/>
  <c r="F122" i="29"/>
  <c r="F121" i="29"/>
  <c r="F120" i="29"/>
  <c r="F117" i="29"/>
  <c r="F115" i="29"/>
  <c r="F111" i="29"/>
  <c r="F110" i="29"/>
  <c r="F107" i="29"/>
  <c r="F106" i="29"/>
  <c r="F105" i="29"/>
  <c r="F100" i="29"/>
  <c r="F99" i="29"/>
  <c r="F98" i="29"/>
  <c r="F97" i="29"/>
  <c r="F96" i="29"/>
  <c r="F95" i="29"/>
  <c r="F94" i="29"/>
  <c r="F92" i="29"/>
  <c r="F91" i="29"/>
  <c r="F90" i="29"/>
  <c r="F89" i="29"/>
  <c r="F88" i="29"/>
  <c r="F85" i="29"/>
  <c r="F82" i="29"/>
  <c r="F80" i="29"/>
  <c r="F72" i="29"/>
  <c r="F74" i="29"/>
  <c r="F75" i="29"/>
  <c r="F76" i="29"/>
  <c r="F71" i="29"/>
  <c r="F68" i="29"/>
  <c r="F67" i="29"/>
  <c r="F66" i="29"/>
  <c r="F65" i="29"/>
  <c r="F62" i="29"/>
  <c r="F61" i="29"/>
  <c r="F60" i="29"/>
  <c r="F57" i="29"/>
  <c r="F56" i="29"/>
  <c r="F55" i="29"/>
  <c r="F54" i="29"/>
  <c r="F53" i="29"/>
  <c r="F50" i="29"/>
  <c r="F47" i="29"/>
  <c r="F46" i="29"/>
  <c r="F45" i="29"/>
  <c r="F44" i="29"/>
  <c r="F43" i="29"/>
  <c r="F42" i="29"/>
  <c r="F40" i="29"/>
  <c r="F39" i="29"/>
  <c r="F34" i="29"/>
  <c r="F31" i="29"/>
  <c r="F29" i="29"/>
  <c r="F24" i="29"/>
  <c r="F25" i="29"/>
  <c r="F20" i="29"/>
  <c r="F18" i="29"/>
  <c r="F17" i="29"/>
  <c r="F16" i="29"/>
  <c r="H1133" i="25"/>
  <c r="H1134" i="25"/>
  <c r="H1135" i="25"/>
  <c r="H1132" i="25"/>
  <c r="I1136" i="25" s="1"/>
  <c r="J1130" i="25" s="1"/>
  <c r="H1127" i="25"/>
  <c r="E1126" i="25"/>
  <c r="H1126" i="25" s="1"/>
  <c r="J1128" i="25" s="1"/>
  <c r="O1127" i="25"/>
  <c r="O1126" i="25"/>
  <c r="M1125" i="25"/>
  <c r="H1125" i="25"/>
  <c r="F32" i="28"/>
  <c r="F158" i="29" l="1"/>
  <c r="E216" i="29" s="1"/>
  <c r="F114" i="29"/>
  <c r="F83" i="29"/>
  <c r="F51" i="29"/>
  <c r="F116" i="29"/>
  <c r="F84" i="29"/>
  <c r="F93" i="29"/>
  <c r="F102" i="29" s="1"/>
  <c r="E214" i="29" s="1"/>
  <c r="F81" i="29"/>
  <c r="F35" i="29"/>
  <c r="F19" i="29"/>
  <c r="F21" i="29" s="1"/>
  <c r="F30" i="29"/>
  <c r="F32" i="29" s="1"/>
  <c r="F27" i="29"/>
  <c r="F205" i="29"/>
  <c r="E219" i="29" s="1"/>
  <c r="F210" i="29"/>
  <c r="F48" i="29"/>
  <c r="F195" i="29"/>
  <c r="E217" i="29" s="1"/>
  <c r="F77" i="29"/>
  <c r="F125" i="29"/>
  <c r="F108" i="29"/>
  <c r="F112" i="29"/>
  <c r="F202" i="29"/>
  <c r="E218" i="29" s="1"/>
  <c r="F63" i="29"/>
  <c r="F69" i="29"/>
  <c r="J1125" i="25"/>
  <c r="O1125" i="25" s="1"/>
  <c r="E43" i="27"/>
  <c r="D43" i="27"/>
  <c r="C43" i="27"/>
  <c r="E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6" i="27"/>
  <c r="E35" i="27"/>
  <c r="C35" i="27"/>
  <c r="C34" i="27"/>
  <c r="E33" i="27"/>
  <c r="E32" i="27"/>
  <c r="E31" i="27"/>
  <c r="C31" i="27"/>
  <c r="E30" i="27"/>
  <c r="C30" i="27"/>
  <c r="E28" i="27"/>
  <c r="E27" i="27"/>
  <c r="E26" i="27"/>
  <c r="C26" i="27"/>
  <c r="E25" i="27"/>
  <c r="C25" i="27"/>
  <c r="E24" i="27"/>
  <c r="C24" i="27"/>
  <c r="E23" i="27"/>
  <c r="E22" i="27"/>
  <c r="E21" i="27"/>
  <c r="E20" i="27"/>
  <c r="E19" i="27"/>
  <c r="C19" i="27"/>
  <c r="E17" i="27"/>
  <c r="C17" i="27"/>
  <c r="E16" i="27"/>
  <c r="E15" i="27"/>
  <c r="C15" i="27"/>
  <c r="E14" i="27"/>
  <c r="D10" i="27"/>
  <c r="D8" i="27"/>
  <c r="C5" i="27"/>
  <c r="C3" i="27"/>
  <c r="E220" i="29" l="1"/>
  <c r="F220" i="29"/>
  <c r="F222" i="29" s="1"/>
  <c r="F118" i="29"/>
  <c r="F126" i="29" s="1"/>
  <c r="E215" i="29" s="1"/>
  <c r="F25" i="27"/>
  <c r="F31" i="27"/>
  <c r="F58" i="29"/>
  <c r="F36" i="29"/>
  <c r="F86" i="29"/>
  <c r="E213" i="29" s="1"/>
  <c r="O6" i="24"/>
  <c r="O7" i="24"/>
  <c r="O8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3" i="24"/>
  <c r="O44" i="24"/>
  <c r="O45" i="24"/>
  <c r="O46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76" i="24"/>
  <c r="O77" i="24"/>
  <c r="O78" i="24"/>
  <c r="O79" i="24"/>
  <c r="O81" i="24"/>
  <c r="O82" i="24"/>
  <c r="O83" i="24"/>
  <c r="O84" i="24"/>
  <c r="O85" i="24"/>
  <c r="O86" i="24"/>
  <c r="O87" i="24"/>
  <c r="O88" i="24"/>
  <c r="O89" i="24"/>
  <c r="O90" i="24"/>
  <c r="O91" i="24"/>
  <c r="O92" i="24"/>
  <c r="O93" i="24"/>
  <c r="O94" i="24"/>
  <c r="O95" i="24"/>
  <c r="O96" i="24"/>
  <c r="O97" i="24"/>
  <c r="O98" i="24"/>
  <c r="O99" i="24"/>
  <c r="O101" i="24"/>
  <c r="O102" i="24"/>
  <c r="O103" i="24"/>
  <c r="O104" i="24"/>
  <c r="O105" i="24"/>
  <c r="O106" i="24"/>
  <c r="O107" i="24"/>
  <c r="O108" i="24"/>
  <c r="O109" i="24"/>
  <c r="O110" i="24"/>
  <c r="O111" i="24"/>
  <c r="O112" i="24"/>
  <c r="O113" i="24"/>
  <c r="O114" i="24"/>
  <c r="O115" i="24"/>
  <c r="O116" i="24"/>
  <c r="O117" i="24"/>
  <c r="O119" i="24"/>
  <c r="O120" i="24"/>
  <c r="O121" i="24"/>
  <c r="O122" i="24"/>
  <c r="O123" i="24"/>
  <c r="O124" i="24"/>
  <c r="O125" i="24"/>
  <c r="O126" i="24"/>
  <c r="O127" i="24"/>
  <c r="O128" i="24"/>
  <c r="O129" i="24"/>
  <c r="O130" i="24"/>
  <c r="O131" i="24"/>
  <c r="O132" i="24"/>
  <c r="O133" i="24"/>
  <c r="O134" i="24"/>
  <c r="O135" i="24"/>
  <c r="O136" i="24"/>
  <c r="O138" i="24"/>
  <c r="O139" i="24"/>
  <c r="O140" i="24"/>
  <c r="O141" i="24"/>
  <c r="O142" i="24"/>
  <c r="O143" i="24"/>
  <c r="O144" i="24"/>
  <c r="O145" i="24"/>
  <c r="O146" i="24"/>
  <c r="O147" i="24"/>
  <c r="O148" i="24"/>
  <c r="O149" i="24"/>
  <c r="O150" i="24"/>
  <c r="O151" i="24"/>
  <c r="O152" i="24"/>
  <c r="O153" i="24"/>
  <c r="O154" i="24"/>
  <c r="O155" i="24"/>
  <c r="O157" i="24"/>
  <c r="O159" i="24"/>
  <c r="O160" i="24"/>
  <c r="O161" i="24"/>
  <c r="O162" i="24"/>
  <c r="O163" i="24"/>
  <c r="O164" i="24"/>
  <c r="O165" i="24"/>
  <c r="O166" i="24"/>
  <c r="O167" i="24"/>
  <c r="O168" i="24"/>
  <c r="O169" i="24"/>
  <c r="O170" i="24"/>
  <c r="O171" i="24"/>
  <c r="O172" i="24"/>
  <c r="O173" i="24"/>
  <c r="O174" i="24"/>
  <c r="O176" i="24"/>
  <c r="O177" i="24"/>
  <c r="O178" i="24"/>
  <c r="O179" i="24"/>
  <c r="O180" i="24"/>
  <c r="O181" i="24"/>
  <c r="O182" i="24"/>
  <c r="O183" i="24"/>
  <c r="O184" i="24"/>
  <c r="O185" i="24"/>
  <c r="O186" i="24"/>
  <c r="O187" i="24"/>
  <c r="O188" i="24"/>
  <c r="O189" i="24"/>
  <c r="O190" i="24"/>
  <c r="O191" i="24"/>
  <c r="O192" i="24"/>
  <c r="O193" i="24"/>
  <c r="O194" i="24"/>
  <c r="O195" i="24"/>
  <c r="O196" i="24"/>
  <c r="O197" i="24"/>
  <c r="O198" i="24"/>
  <c r="O199" i="24"/>
  <c r="O200" i="24"/>
  <c r="O201" i="24"/>
  <c r="O202" i="24"/>
  <c r="O203" i="24"/>
  <c r="O204" i="24"/>
  <c r="O205" i="24"/>
  <c r="O206" i="24"/>
  <c r="O207" i="24"/>
  <c r="O208" i="24"/>
  <c r="O209" i="24"/>
  <c r="O210" i="24"/>
  <c r="O211" i="24"/>
  <c r="O212" i="24"/>
  <c r="O213" i="24"/>
  <c r="O214" i="24"/>
  <c r="O216" i="24"/>
  <c r="O217" i="24"/>
  <c r="O219" i="24"/>
  <c r="O220" i="24"/>
  <c r="O221" i="24"/>
  <c r="O222" i="24"/>
  <c r="O224" i="24"/>
  <c r="O225" i="24"/>
  <c r="O226" i="24"/>
  <c r="O228" i="24"/>
  <c r="O229" i="24"/>
  <c r="O230" i="24"/>
  <c r="O232" i="24"/>
  <c r="O233" i="24"/>
  <c r="O235" i="24"/>
  <c r="O236" i="24"/>
  <c r="O238" i="24"/>
  <c r="O239" i="24"/>
  <c r="O240" i="24"/>
  <c r="O241" i="24"/>
  <c r="O242" i="24"/>
  <c r="O243" i="24"/>
  <c r="O245" i="24"/>
  <c r="O246" i="24"/>
  <c r="O247" i="24"/>
  <c r="O248" i="24"/>
  <c r="O249" i="24"/>
  <c r="O250" i="24"/>
  <c r="O251" i="24"/>
  <c r="O252" i="24"/>
  <c r="O253" i="24"/>
  <c r="O254" i="24"/>
  <c r="O255" i="24"/>
  <c r="O256" i="24"/>
  <c r="O257" i="24"/>
  <c r="O258" i="24"/>
  <c r="O259" i="24"/>
  <c r="O260" i="24"/>
  <c r="O261" i="24"/>
  <c r="O262" i="24"/>
  <c r="O263" i="24"/>
  <c r="O264" i="24"/>
  <c r="O265" i="24"/>
  <c r="O266" i="24"/>
  <c r="O267" i="24"/>
  <c r="O268" i="24"/>
  <c r="O269" i="24"/>
  <c r="O270" i="24"/>
  <c r="O271" i="24"/>
  <c r="O272" i="24"/>
  <c r="O273" i="24"/>
  <c r="O274" i="24"/>
  <c r="O275" i="24"/>
  <c r="O276" i="24"/>
  <c r="O277" i="24"/>
  <c r="O278" i="24"/>
  <c r="O279" i="24"/>
  <c r="O280" i="24"/>
  <c r="O281" i="24"/>
  <c r="O282" i="24"/>
  <c r="O283" i="24"/>
  <c r="O284" i="24"/>
  <c r="O285" i="24"/>
  <c r="O286" i="24"/>
  <c r="O287" i="24"/>
  <c r="O288" i="24"/>
  <c r="O289" i="24"/>
  <c r="O290" i="24"/>
  <c r="O291" i="24"/>
  <c r="O292" i="24"/>
  <c r="O293" i="24"/>
  <c r="O294" i="24"/>
  <c r="O295" i="24"/>
  <c r="O296" i="24"/>
  <c r="O297" i="24"/>
  <c r="O298" i="24"/>
  <c r="O301" i="24"/>
  <c r="O302" i="24"/>
  <c r="O303" i="24"/>
  <c r="O304" i="24"/>
  <c r="O305" i="24"/>
  <c r="O306" i="24"/>
  <c r="O307" i="24"/>
  <c r="O308" i="24"/>
  <c r="O309" i="24"/>
  <c r="O310" i="24"/>
  <c r="O311" i="24"/>
  <c r="O312" i="24"/>
  <c r="O313" i="24"/>
  <c r="O314" i="24"/>
  <c r="O315" i="24"/>
  <c r="O316" i="24"/>
  <c r="O317" i="24"/>
  <c r="O318" i="24"/>
  <c r="O319" i="24"/>
  <c r="O320" i="24"/>
  <c r="O321" i="24"/>
  <c r="O322" i="24"/>
  <c r="O324" i="24"/>
  <c r="O326" i="24"/>
  <c r="O327" i="24"/>
  <c r="O328" i="24"/>
  <c r="O329" i="24"/>
  <c r="O330" i="24"/>
  <c r="O331" i="24"/>
  <c r="O332" i="24"/>
  <c r="O333" i="24"/>
  <c r="O334" i="24"/>
  <c r="O335" i="24"/>
  <c r="O336" i="24"/>
  <c r="O337" i="24"/>
  <c r="O339" i="24"/>
  <c r="O340" i="24"/>
  <c r="O341" i="24"/>
  <c r="O342" i="24"/>
  <c r="O343" i="24"/>
  <c r="O344" i="24"/>
  <c r="O345" i="24"/>
  <c r="O346" i="24"/>
  <c r="O347" i="24"/>
  <c r="O348" i="24"/>
  <c r="O349" i="24"/>
  <c r="O350" i="24"/>
  <c r="O351" i="24"/>
  <c r="O352" i="24"/>
  <c r="O353" i="24"/>
  <c r="O354" i="24"/>
  <c r="O355" i="24"/>
  <c r="O356" i="24"/>
  <c r="O358" i="24"/>
  <c r="O359" i="24"/>
  <c r="O360" i="24"/>
  <c r="O361" i="24"/>
  <c r="O362" i="24"/>
  <c r="O363" i="24"/>
  <c r="O364" i="24"/>
  <c r="O365" i="24"/>
  <c r="O366" i="24"/>
  <c r="O367" i="24"/>
  <c r="O368" i="24"/>
  <c r="O369" i="24"/>
  <c r="O370" i="24"/>
  <c r="O371" i="24"/>
  <c r="O372" i="24"/>
  <c r="O373" i="24"/>
  <c r="O374" i="24"/>
  <c r="O375" i="24"/>
  <c r="O376" i="24"/>
  <c r="O377" i="24"/>
  <c r="O378" i="24"/>
  <c r="O379" i="24"/>
  <c r="O380" i="24"/>
  <c r="O381" i="24"/>
  <c r="O382" i="24"/>
  <c r="O383" i="24"/>
  <c r="O384" i="24"/>
  <c r="O385" i="24"/>
  <c r="O386" i="24"/>
  <c r="O387" i="24"/>
  <c r="O388" i="24"/>
  <c r="O389" i="24"/>
  <c r="O390" i="24"/>
  <c r="O391" i="24"/>
  <c r="O392" i="24"/>
  <c r="O393" i="24"/>
  <c r="O394" i="24"/>
  <c r="O395" i="24"/>
  <c r="O396" i="24"/>
  <c r="O397" i="24"/>
  <c r="O398" i="24"/>
  <c r="O399" i="24"/>
  <c r="O400" i="24"/>
  <c r="O401" i="24"/>
  <c r="O402" i="24"/>
  <c r="O403" i="24"/>
  <c r="O404" i="24"/>
  <c r="O405" i="24"/>
  <c r="O406" i="24"/>
  <c r="O407" i="24"/>
  <c r="O408" i="24"/>
  <c r="O409" i="24"/>
  <c r="O410" i="24"/>
  <c r="O411" i="24"/>
  <c r="O412" i="24"/>
  <c r="O413" i="24"/>
  <c r="O414" i="24"/>
  <c r="O415" i="24"/>
  <c r="O416" i="24"/>
  <c r="O417" i="24"/>
  <c r="O418" i="24"/>
  <c r="O419" i="24"/>
  <c r="O420" i="24"/>
  <c r="O421" i="24"/>
  <c r="O422" i="24"/>
  <c r="O423" i="24"/>
  <c r="O424" i="24"/>
  <c r="O425" i="24"/>
  <c r="O426" i="24"/>
  <c r="O427" i="24"/>
  <c r="O428" i="24"/>
  <c r="O429" i="24"/>
  <c r="O430" i="24"/>
  <c r="O432" i="24"/>
  <c r="O433" i="24"/>
  <c r="O434" i="24"/>
  <c r="O435" i="24"/>
  <c r="O436" i="24"/>
  <c r="O437" i="24"/>
  <c r="O438" i="24"/>
  <c r="O439" i="24"/>
  <c r="O440" i="24"/>
  <c r="O441" i="24"/>
  <c r="O442" i="24"/>
  <c r="O443" i="24"/>
  <c r="O445" i="24"/>
  <c r="O446" i="24"/>
  <c r="O447" i="24"/>
  <c r="O448" i="24"/>
  <c r="O449" i="24"/>
  <c r="O450" i="24"/>
  <c r="O451" i="24"/>
  <c r="O453" i="24"/>
  <c r="O454" i="24"/>
  <c r="O455" i="24"/>
  <c r="O456" i="24"/>
  <c r="O457" i="24"/>
  <c r="O458" i="24"/>
  <c r="O459" i="24"/>
  <c r="O460" i="24"/>
  <c r="O461" i="24"/>
  <c r="O462" i="24"/>
  <c r="O463" i="24"/>
  <c r="O464" i="24"/>
  <c r="O465" i="24"/>
  <c r="O466" i="24"/>
  <c r="O467" i="24"/>
  <c r="O468" i="24"/>
  <c r="O469" i="24"/>
  <c r="O470" i="24"/>
  <c r="O471" i="24"/>
  <c r="O472" i="24"/>
  <c r="O473" i="24"/>
  <c r="O474" i="24"/>
  <c r="O475" i="24"/>
  <c r="O476" i="24"/>
  <c r="O477" i="24"/>
  <c r="O478" i="24"/>
  <c r="O479" i="24"/>
  <c r="O480" i="24"/>
  <c r="O481" i="24"/>
  <c r="O482" i="24"/>
  <c r="O483" i="24"/>
  <c r="O484" i="24"/>
  <c r="O485" i="24"/>
  <c r="O487" i="24"/>
  <c r="O488" i="24"/>
  <c r="O489" i="24"/>
  <c r="O490" i="24"/>
  <c r="O491" i="24"/>
  <c r="O492" i="24"/>
  <c r="O493" i="24"/>
  <c r="O494" i="24"/>
  <c r="O495" i="24"/>
  <c r="O496" i="24"/>
  <c r="O497" i="24"/>
  <c r="O498" i="24"/>
  <c r="O499" i="24"/>
  <c r="O500" i="24"/>
  <c r="O501" i="24"/>
  <c r="O502" i="24"/>
  <c r="O503" i="24"/>
  <c r="O504" i="24"/>
  <c r="O505" i="24"/>
  <c r="O506" i="24"/>
  <c r="O507" i="24"/>
  <c r="O508" i="24"/>
  <c r="O509" i="24"/>
  <c r="O510" i="24"/>
  <c r="O511" i="24"/>
  <c r="O512" i="24"/>
  <c r="O513" i="24"/>
  <c r="O514" i="24"/>
  <c r="O515" i="24"/>
  <c r="O516" i="24"/>
  <c r="O517" i="24"/>
  <c r="O518" i="24"/>
  <c r="O519" i="24"/>
  <c r="O520" i="24"/>
  <c r="O521" i="24"/>
  <c r="O522" i="24"/>
  <c r="O523" i="24"/>
  <c r="O524" i="24"/>
  <c r="O525" i="24"/>
  <c r="O526" i="24"/>
  <c r="O527" i="24"/>
  <c r="O528" i="24"/>
  <c r="O529" i="24"/>
  <c r="O530" i="24"/>
  <c r="O531" i="24"/>
  <c r="O532" i="24"/>
  <c r="O533" i="24"/>
  <c r="O534" i="24"/>
  <c r="O535" i="24"/>
  <c r="O536" i="24"/>
  <c r="O537" i="24"/>
  <c r="O538" i="24"/>
  <c r="O539" i="24"/>
  <c r="O540" i="24"/>
  <c r="O541" i="24"/>
  <c r="O542" i="24"/>
  <c r="O543" i="24"/>
  <c r="O544" i="24"/>
  <c r="O545" i="24"/>
  <c r="O546" i="24"/>
  <c r="O547" i="24"/>
  <c r="O548" i="24"/>
  <c r="O549" i="24"/>
  <c r="O550" i="24"/>
  <c r="O551" i="24"/>
  <c r="O552" i="24"/>
  <c r="O553" i="24"/>
  <c r="O554" i="24"/>
  <c r="O555" i="24"/>
  <c r="O556" i="24"/>
  <c r="O557" i="24"/>
  <c r="O558" i="24"/>
  <c r="O559" i="24"/>
  <c r="O560" i="24"/>
  <c r="O561" i="24"/>
  <c r="O562" i="24"/>
  <c r="O564" i="24"/>
  <c r="O565" i="24"/>
  <c r="O566" i="24"/>
  <c r="O567" i="24"/>
  <c r="O568" i="24"/>
  <c r="O569" i="24"/>
  <c r="O570" i="24"/>
  <c r="O571" i="24"/>
  <c r="O572" i="24"/>
  <c r="O573" i="24"/>
  <c r="O574" i="24"/>
  <c r="O575" i="24"/>
  <c r="O576" i="24"/>
  <c r="O577" i="24"/>
  <c r="O578" i="24"/>
  <c r="O579" i="24"/>
  <c r="O580" i="24"/>
  <c r="O581" i="24"/>
  <c r="O582" i="24"/>
  <c r="O583" i="24"/>
  <c r="O584" i="24"/>
  <c r="O585" i="24"/>
  <c r="O586" i="24"/>
  <c r="O587" i="24"/>
  <c r="O588" i="24"/>
  <c r="O589" i="24"/>
  <c r="O590" i="24"/>
  <c r="O591" i="24"/>
  <c r="O592" i="24"/>
  <c r="O593" i="24"/>
  <c r="O594" i="24"/>
  <c r="O595" i="24"/>
  <c r="O596" i="24"/>
  <c r="O597" i="24"/>
  <c r="O599" i="24"/>
  <c r="O600" i="24"/>
  <c r="O601" i="24"/>
  <c r="O602" i="24"/>
  <c r="O603" i="24"/>
  <c r="O604" i="24"/>
  <c r="O605" i="24"/>
  <c r="O606" i="24"/>
  <c r="O607" i="24"/>
  <c r="O608" i="24"/>
  <c r="O609" i="24"/>
  <c r="O610" i="24"/>
  <c r="O611" i="24"/>
  <c r="O612" i="24"/>
  <c r="O613" i="24"/>
  <c r="O614" i="24"/>
  <c r="O615" i="24"/>
  <c r="O616" i="24"/>
  <c r="O618" i="24"/>
  <c r="O619" i="24"/>
  <c r="O620" i="24"/>
  <c r="O621" i="24"/>
  <c r="O622" i="24"/>
  <c r="O623" i="24"/>
  <c r="O624" i="24"/>
  <c r="O625" i="24"/>
  <c r="O626" i="24"/>
  <c r="O627" i="24"/>
  <c r="O628" i="24"/>
  <c r="O629" i="24"/>
  <c r="O630" i="24"/>
  <c r="O631" i="24"/>
  <c r="O632" i="24"/>
  <c r="O633" i="24"/>
  <c r="O634" i="24"/>
  <c r="O635" i="24"/>
  <c r="O637" i="24"/>
  <c r="O638" i="24"/>
  <c r="O639" i="24"/>
  <c r="O641" i="24"/>
  <c r="O642" i="24"/>
  <c r="O643" i="24"/>
  <c r="O644" i="24"/>
  <c r="O645" i="24"/>
  <c r="O646" i="24"/>
  <c r="O647" i="24"/>
  <c r="O648" i="24"/>
  <c r="O649" i="24"/>
  <c r="O650" i="24"/>
  <c r="O651" i="24"/>
  <c r="O652" i="24"/>
  <c r="O653" i="24"/>
  <c r="O654" i="24"/>
  <c r="O655" i="24"/>
  <c r="O656" i="24"/>
  <c r="O658" i="24"/>
  <c r="O660" i="24"/>
  <c r="O661" i="24"/>
  <c r="O662" i="24"/>
  <c r="O663" i="24"/>
  <c r="O664" i="24"/>
  <c r="O665" i="24"/>
  <c r="O666" i="24"/>
  <c r="O667" i="24"/>
  <c r="O668" i="24"/>
  <c r="O669" i="24"/>
  <c r="O670" i="24"/>
  <c r="O671" i="24"/>
  <c r="O672" i="24"/>
  <c r="O673" i="24"/>
  <c r="O674" i="24"/>
  <c r="O675" i="24"/>
  <c r="O678" i="24"/>
  <c r="O680" i="24"/>
  <c r="O681" i="24"/>
  <c r="O682" i="24"/>
  <c r="O683" i="24"/>
  <c r="O684" i="24"/>
  <c r="O685" i="24"/>
  <c r="O686" i="24"/>
  <c r="O687" i="24"/>
  <c r="O688" i="24"/>
  <c r="O689" i="24"/>
  <c r="O690" i="24"/>
  <c r="O691" i="24"/>
  <c r="O692" i="24"/>
  <c r="O694" i="24"/>
  <c r="O695" i="24"/>
  <c r="O696" i="24"/>
  <c r="O697" i="24"/>
  <c r="O698" i="24"/>
  <c r="O699" i="24"/>
  <c r="O700" i="24"/>
  <c r="O701" i="24"/>
  <c r="O702" i="24"/>
  <c r="O703" i="24"/>
  <c r="O704" i="24"/>
  <c r="O705" i="24"/>
  <c r="O706" i="24"/>
  <c r="O707" i="24"/>
  <c r="O708" i="24"/>
  <c r="O709" i="24"/>
  <c r="O710" i="24"/>
  <c r="O711" i="24"/>
  <c r="O712" i="24"/>
  <c r="O713" i="24"/>
  <c r="O714" i="24"/>
  <c r="O715" i="24"/>
  <c r="O717" i="24"/>
  <c r="O718" i="24"/>
  <c r="O719" i="24"/>
  <c r="O720" i="24"/>
  <c r="O721" i="24"/>
  <c r="O722" i="24"/>
  <c r="O723" i="24"/>
  <c r="O724" i="24"/>
  <c r="O725" i="24"/>
  <c r="O726" i="24"/>
  <c r="O728" i="24"/>
  <c r="O729" i="24"/>
  <c r="O730" i="24"/>
  <c r="O731" i="24"/>
  <c r="O732" i="24"/>
  <c r="O733" i="24"/>
  <c r="O734" i="24"/>
  <c r="O735" i="24"/>
  <c r="O736" i="24"/>
  <c r="O737" i="24"/>
  <c r="O738" i="24"/>
  <c r="O739" i="24"/>
  <c r="O740" i="24"/>
  <c r="O741" i="24"/>
  <c r="O742" i="24"/>
  <c r="O743" i="24"/>
  <c r="O744" i="24"/>
  <c r="O745" i="24"/>
  <c r="O746" i="24"/>
  <c r="O747" i="24"/>
  <c r="O748" i="24"/>
  <c r="O749" i="24"/>
  <c r="O750" i="24"/>
  <c r="O751" i="24"/>
  <c r="O752" i="24"/>
  <c r="O753" i="24"/>
  <c r="O754" i="24"/>
  <c r="O755" i="24"/>
  <c r="O756" i="24"/>
  <c r="O757" i="24"/>
  <c r="O758" i="24"/>
  <c r="O759" i="24"/>
  <c r="O760" i="24"/>
  <c r="O761" i="24"/>
  <c r="O762" i="24"/>
  <c r="O763" i="24"/>
  <c r="O764" i="24"/>
  <c r="O765" i="24"/>
  <c r="O766" i="24"/>
  <c r="O767" i="24"/>
  <c r="O768" i="24"/>
  <c r="O769" i="24"/>
  <c r="O770" i="24"/>
  <c r="O771" i="24"/>
  <c r="O772" i="24"/>
  <c r="O773" i="24"/>
  <c r="O774" i="24"/>
  <c r="O775" i="24"/>
  <c r="O776" i="24"/>
  <c r="O777" i="24"/>
  <c r="O778" i="24"/>
  <c r="O779" i="24"/>
  <c r="O780" i="24"/>
  <c r="O781" i="24"/>
  <c r="O782" i="24"/>
  <c r="O784" i="24"/>
  <c r="O785" i="24"/>
  <c r="O786" i="24"/>
  <c r="O787" i="24"/>
  <c r="O788" i="24"/>
  <c r="O789" i="24"/>
  <c r="O790" i="24"/>
  <c r="O791" i="24"/>
  <c r="O792" i="24"/>
  <c r="O793" i="24"/>
  <c r="O794" i="24"/>
  <c r="O795" i="24"/>
  <c r="O796" i="24"/>
  <c r="O797" i="24"/>
  <c r="O798" i="24"/>
  <c r="O799" i="24"/>
  <c r="O800" i="24"/>
  <c r="O801" i="24"/>
  <c r="O802" i="24"/>
  <c r="O803" i="24"/>
  <c r="O804" i="24"/>
  <c r="O805" i="24"/>
  <c r="O807" i="24"/>
  <c r="O808" i="24"/>
  <c r="O809" i="24"/>
  <c r="O810" i="24"/>
  <c r="O812" i="24"/>
  <c r="O813" i="24"/>
  <c r="O814" i="24"/>
  <c r="O815" i="24"/>
  <c r="O816" i="24"/>
  <c r="O817" i="24"/>
  <c r="O818" i="24"/>
  <c r="O819" i="24"/>
  <c r="O820" i="24"/>
  <c r="O821" i="24"/>
  <c r="O822" i="24"/>
  <c r="O823" i="24"/>
  <c r="O824" i="24"/>
  <c r="O825" i="24"/>
  <c r="O826" i="24"/>
  <c r="O827" i="24"/>
  <c r="O828" i="24"/>
  <c r="O829" i="24"/>
  <c r="O830" i="24"/>
  <c r="O831" i="24"/>
  <c r="O832" i="24"/>
  <c r="O833" i="24"/>
  <c r="O834" i="24"/>
  <c r="O835" i="24"/>
  <c r="O836" i="24"/>
  <c r="O837" i="24"/>
  <c r="O838" i="24"/>
  <c r="O840" i="24"/>
  <c r="O841" i="24"/>
  <c r="O842" i="24"/>
  <c r="O844" i="24"/>
  <c r="O845" i="24"/>
  <c r="O846" i="24"/>
  <c r="O847" i="24"/>
  <c r="O848" i="24"/>
  <c r="O849" i="24"/>
  <c r="O850" i="24"/>
  <c r="O852" i="24"/>
  <c r="O853" i="24"/>
  <c r="O854" i="24"/>
  <c r="O855" i="24"/>
  <c r="O856" i="24"/>
  <c r="O857" i="24"/>
  <c r="O858" i="24"/>
  <c r="O859" i="24"/>
  <c r="O860" i="24"/>
  <c r="O861" i="24"/>
  <c r="O862" i="24"/>
  <c r="O863" i="24"/>
  <c r="O864" i="24"/>
  <c r="O865" i="24"/>
  <c r="O866" i="24"/>
  <c r="O867" i="24"/>
  <c r="O868" i="24"/>
  <c r="O869" i="24"/>
  <c r="O870" i="24"/>
  <c r="O871" i="24"/>
  <c r="O872" i="24"/>
  <c r="O873" i="24"/>
  <c r="O874" i="24"/>
  <c r="O875" i="24"/>
  <c r="O876" i="24"/>
  <c r="O877" i="24"/>
  <c r="O878" i="24"/>
  <c r="O879" i="24"/>
  <c r="O880" i="24"/>
  <c r="O881" i="24"/>
  <c r="O882" i="24"/>
  <c r="O883" i="24"/>
  <c r="O884" i="24"/>
  <c r="O886" i="24"/>
  <c r="O887" i="24"/>
  <c r="O888" i="24"/>
  <c r="O889" i="24"/>
  <c r="O890" i="24"/>
  <c r="O891" i="24"/>
  <c r="O892" i="24"/>
  <c r="O893" i="24"/>
  <c r="O894" i="24"/>
  <c r="O895" i="24"/>
  <c r="O896" i="24"/>
  <c r="O898" i="24"/>
  <c r="O899" i="24"/>
  <c r="O900" i="24"/>
  <c r="O901" i="24"/>
  <c r="O902" i="24"/>
  <c r="O903" i="24"/>
  <c r="O904" i="24"/>
  <c r="O905" i="24"/>
  <c r="O906" i="24"/>
  <c r="O907" i="24"/>
  <c r="O908" i="24"/>
  <c r="O909" i="24"/>
  <c r="O910" i="24"/>
  <c r="O911" i="24"/>
  <c r="O913" i="24"/>
  <c r="O914" i="24"/>
  <c r="O915" i="24"/>
  <c r="O916" i="24"/>
  <c r="O917" i="24"/>
  <c r="O918" i="24"/>
  <c r="O919" i="24"/>
  <c r="O920" i="24"/>
  <c r="O921" i="24"/>
  <c r="O922" i="24"/>
  <c r="O923" i="24"/>
  <c r="O925" i="24"/>
  <c r="O926" i="24"/>
  <c r="O927" i="24"/>
  <c r="O928" i="24"/>
  <c r="O929" i="24"/>
  <c r="O930" i="24"/>
  <c r="O931" i="24"/>
  <c r="O932" i="24"/>
  <c r="O933" i="24"/>
  <c r="O934" i="24"/>
  <c r="O935" i="24"/>
  <c r="O937" i="24"/>
  <c r="O938" i="24"/>
  <c r="O939" i="24"/>
  <c r="O940" i="24"/>
  <c r="O941" i="24"/>
  <c r="O942" i="24"/>
  <c r="O943" i="24"/>
  <c r="O944" i="24"/>
  <c r="O945" i="24"/>
  <c r="O946" i="24"/>
  <c r="O947" i="24"/>
  <c r="O948" i="24"/>
  <c r="O949" i="24"/>
  <c r="O951" i="24"/>
  <c r="O952" i="24"/>
  <c r="O953" i="24"/>
  <c r="O954" i="24"/>
  <c r="O955" i="24"/>
  <c r="O957" i="24"/>
  <c r="O958" i="24"/>
  <c r="O960" i="24"/>
  <c r="O961" i="24"/>
  <c r="O962" i="24"/>
  <c r="O964" i="24"/>
  <c r="O965" i="24"/>
  <c r="O966" i="24"/>
  <c r="O967" i="24"/>
  <c r="O968" i="24"/>
  <c r="O969" i="24"/>
  <c r="O970" i="24"/>
  <c r="O971" i="24"/>
  <c r="O972" i="24"/>
  <c r="O973" i="24"/>
  <c r="O975" i="24"/>
  <c r="O976" i="24"/>
  <c r="O977" i="24"/>
  <c r="O978" i="24"/>
  <c r="O979" i="24"/>
  <c r="O980" i="24"/>
  <c r="O981" i="24"/>
  <c r="O982" i="24"/>
  <c r="O983" i="24"/>
  <c r="O984" i="24"/>
  <c r="O985" i="24"/>
  <c r="O986" i="24"/>
  <c r="O987" i="24"/>
  <c r="O988" i="24"/>
  <c r="O989" i="24"/>
  <c r="O990" i="24"/>
  <c r="O991" i="24"/>
  <c r="O993" i="24"/>
  <c r="O994" i="24"/>
  <c r="O995" i="24"/>
  <c r="O996" i="24"/>
  <c r="O997" i="24"/>
  <c r="O999" i="24"/>
  <c r="O1000" i="24"/>
  <c r="O1001" i="24"/>
  <c r="O1002" i="24"/>
  <c r="O1003" i="24"/>
  <c r="O1005" i="24"/>
  <c r="O1009" i="24"/>
  <c r="O1010" i="24"/>
  <c r="O1011" i="24"/>
  <c r="O1012" i="24"/>
  <c r="O1018" i="24"/>
  <c r="O1021" i="24"/>
  <c r="O1022" i="24"/>
  <c r="O1023" i="24"/>
  <c r="O1024" i="24"/>
  <c r="O1025" i="24"/>
  <c r="O1027" i="24"/>
  <c r="O1028" i="24"/>
  <c r="O1030" i="24"/>
  <c r="O1032" i="24"/>
  <c r="O1033" i="24"/>
  <c r="O1034" i="24"/>
  <c r="O1035" i="24"/>
  <c r="O1036" i="24"/>
  <c r="O1038" i="24"/>
  <c r="O1039" i="24"/>
  <c r="O1040" i="24"/>
  <c r="O1042" i="24"/>
  <c r="O1043" i="24"/>
  <c r="O1044" i="24"/>
  <c r="O1046" i="24"/>
  <c r="O1048" i="24"/>
  <c r="O1049" i="24"/>
  <c r="O1050" i="24"/>
  <c r="O1051" i="24"/>
  <c r="O1053" i="24"/>
  <c r="O1054" i="24"/>
  <c r="O1055" i="24"/>
  <c r="O1056" i="24"/>
  <c r="O1058" i="24"/>
  <c r="O1059" i="24"/>
  <c r="O1060" i="24"/>
  <c r="O1061" i="24"/>
  <c r="O1063" i="24"/>
  <c r="O1064" i="24"/>
  <c r="O1065" i="24"/>
  <c r="O1066" i="24"/>
  <c r="O1068" i="24"/>
  <c r="O1069" i="24"/>
  <c r="O1070" i="24"/>
  <c r="O1071" i="24"/>
  <c r="O1072" i="24"/>
  <c r="O1073" i="24"/>
  <c r="O1075" i="24"/>
  <c r="O1076" i="24"/>
  <c r="O1077" i="24"/>
  <c r="O1078" i="24"/>
  <c r="O1079" i="24"/>
  <c r="O1081" i="24"/>
  <c r="O1082" i="24"/>
  <c r="O1083" i="24"/>
  <c r="O1084" i="24"/>
  <c r="O1085" i="24"/>
  <c r="O1087" i="24"/>
  <c r="O1088" i="24"/>
  <c r="O1089" i="24"/>
  <c r="O1090" i="24"/>
  <c r="O1091" i="24"/>
  <c r="O1093" i="24"/>
  <c r="O1094" i="24"/>
  <c r="O1095" i="24"/>
  <c r="O1096" i="24"/>
  <c r="O1097" i="24"/>
  <c r="O1099" i="24"/>
  <c r="O1100" i="24"/>
  <c r="O1101" i="24"/>
  <c r="O1102" i="24"/>
  <c r="O1103" i="24"/>
  <c r="O1104" i="24"/>
  <c r="O1106" i="24"/>
  <c r="O1107" i="24"/>
  <c r="O1108" i="24"/>
  <c r="O1109" i="24"/>
  <c r="O1111" i="24"/>
  <c r="O1112" i="24"/>
  <c r="O1113" i="24"/>
  <c r="O1114" i="24"/>
  <c r="O1116" i="24"/>
  <c r="O1117" i="24"/>
  <c r="O1118" i="24"/>
  <c r="O1119" i="24"/>
  <c r="O1121" i="24"/>
  <c r="O1122" i="24"/>
  <c r="O1123" i="24"/>
  <c r="O1124" i="24"/>
  <c r="O1125" i="24"/>
  <c r="O1127" i="24"/>
  <c r="O1129" i="24"/>
  <c r="O1130" i="24"/>
  <c r="O1131" i="24"/>
  <c r="O1133" i="24"/>
  <c r="O1134" i="24"/>
  <c r="O1135" i="24"/>
  <c r="O1139" i="24"/>
  <c r="O1140" i="24"/>
  <c r="O1143" i="24"/>
  <c r="O1144" i="24"/>
  <c r="O1149" i="24"/>
  <c r="O1150" i="24"/>
  <c r="O1153" i="24"/>
  <c r="O1154" i="24"/>
  <c r="O1155" i="24"/>
  <c r="O1156" i="24"/>
  <c r="O1158" i="24"/>
  <c r="O1159" i="24"/>
  <c r="O1161" i="24"/>
  <c r="O1163" i="24"/>
  <c r="O1165" i="24"/>
  <c r="O1166" i="24"/>
  <c r="O1167" i="24"/>
  <c r="O1169" i="24"/>
  <c r="O1171" i="24"/>
  <c r="O1173" i="24"/>
  <c r="O1175" i="24"/>
  <c r="O1177" i="24"/>
  <c r="O1179" i="24"/>
  <c r="O1181" i="24"/>
  <c r="O1182" i="24"/>
  <c r="O1183" i="24"/>
  <c r="O1184" i="24"/>
  <c r="O1188" i="24"/>
  <c r="O1191" i="24"/>
  <c r="O1192" i="24"/>
  <c r="O1194" i="24"/>
  <c r="O1195" i="24"/>
  <c r="O1196" i="24"/>
  <c r="O1197" i="24"/>
  <c r="O1198" i="24"/>
  <c r="O1199" i="24"/>
  <c r="O1200" i="24"/>
  <c r="O1201" i="24"/>
  <c r="O1202" i="24"/>
  <c r="O1203" i="24"/>
  <c r="O1204" i="24"/>
  <c r="O1205" i="24"/>
  <c r="O1206" i="24"/>
  <c r="O1207" i="24"/>
  <c r="O1208" i="24"/>
  <c r="O1209" i="24"/>
  <c r="O1210" i="24"/>
  <c r="O1211" i="24"/>
  <c r="O1213" i="24"/>
  <c r="O1214" i="24"/>
  <c r="O1215" i="24"/>
  <c r="O1216" i="24"/>
  <c r="O1217" i="24"/>
  <c r="O1218" i="24"/>
  <c r="O1219" i="24"/>
  <c r="O1220" i="24"/>
  <c r="O1221" i="24"/>
  <c r="O1222" i="24"/>
  <c r="O1223" i="24"/>
  <c r="O1224" i="24"/>
  <c r="O1225" i="24"/>
  <c r="O1226" i="24"/>
  <c r="O1227" i="24"/>
  <c r="O1228" i="24"/>
  <c r="O1229" i="24"/>
  <c r="O1230" i="24"/>
  <c r="O1231" i="24"/>
  <c r="O1232" i="24"/>
  <c r="O1233" i="24"/>
  <c r="O1234" i="24"/>
  <c r="O1235" i="24"/>
  <c r="O1236" i="24"/>
  <c r="O1237" i="24"/>
  <c r="O1238" i="24"/>
  <c r="O1239" i="24"/>
  <c r="O1240" i="24"/>
  <c r="O1241" i="24"/>
  <c r="O1242" i="24"/>
  <c r="O1243" i="24"/>
  <c r="O1244" i="24"/>
  <c r="O1245" i="24"/>
  <c r="O1246" i="24"/>
  <c r="O1247" i="24"/>
  <c r="O1248" i="24"/>
  <c r="O1249" i="24"/>
  <c r="O1250" i="24"/>
  <c r="O1251" i="24"/>
  <c r="O1252" i="24"/>
  <c r="O1253" i="24"/>
  <c r="O1254" i="24"/>
  <c r="O1255" i="24"/>
  <c r="O1256" i="24"/>
  <c r="O1257" i="24"/>
  <c r="O1258" i="24"/>
  <c r="O1259" i="24"/>
  <c r="O1260" i="24"/>
  <c r="O1261" i="24"/>
  <c r="O1262" i="24"/>
  <c r="O1263" i="24"/>
  <c r="O1264" i="24"/>
  <c r="O1265" i="24"/>
  <c r="O1266" i="24"/>
  <c r="O1267" i="24"/>
  <c r="O1268" i="24"/>
  <c r="O1269" i="24"/>
  <c r="O1270" i="24"/>
  <c r="O1271" i="24"/>
  <c r="O1272" i="24"/>
  <c r="O1273" i="24"/>
  <c r="O1274" i="24"/>
  <c r="O1275" i="24"/>
  <c r="O1276" i="24"/>
  <c r="O1277" i="24"/>
  <c r="O1278" i="24"/>
  <c r="O1279" i="24"/>
  <c r="O1280" i="24"/>
  <c r="O1281" i="24"/>
  <c r="O1282" i="24"/>
  <c r="O1283" i="24"/>
  <c r="O1284" i="24"/>
  <c r="O1285" i="24"/>
  <c r="O1286" i="24"/>
  <c r="O1287" i="24"/>
  <c r="O1288" i="24"/>
  <c r="O1289" i="24"/>
  <c r="O1290" i="24"/>
  <c r="O1291" i="24"/>
  <c r="O1292" i="24"/>
  <c r="O1293" i="24"/>
  <c r="O1294" i="24"/>
  <c r="O1295" i="24"/>
  <c r="O1296" i="24"/>
  <c r="O1297" i="24"/>
  <c r="O1298" i="24"/>
  <c r="O1299" i="24"/>
  <c r="O1300" i="24"/>
  <c r="O1301" i="24"/>
  <c r="O1302" i="24"/>
  <c r="O1303" i="24"/>
  <c r="O1304" i="24"/>
  <c r="O1305" i="24"/>
  <c r="O1306" i="24"/>
  <c r="O1307" i="24"/>
  <c r="O1308" i="24"/>
  <c r="O1309" i="24"/>
  <c r="O1310" i="24"/>
  <c r="O1311" i="24"/>
  <c r="O1312" i="24"/>
  <c r="O1313" i="24"/>
  <c r="O1314" i="24"/>
  <c r="O1315" i="24"/>
  <c r="O1316" i="24"/>
  <c r="O1317" i="24"/>
  <c r="O1318" i="24"/>
  <c r="O1319" i="24"/>
  <c r="O1320" i="24"/>
  <c r="O1321" i="24"/>
  <c r="O1322" i="24"/>
  <c r="O1323" i="24"/>
  <c r="O1324" i="24"/>
  <c r="O1325" i="24"/>
  <c r="O1326" i="24"/>
  <c r="O1327" i="24"/>
  <c r="O1328" i="24"/>
  <c r="O1329" i="24"/>
  <c r="O1331" i="24"/>
  <c r="O1332" i="24"/>
  <c r="O1333" i="24"/>
  <c r="O1334" i="24"/>
  <c r="O1335" i="24"/>
  <c r="O1336" i="24"/>
  <c r="O1337" i="24"/>
  <c r="O1338" i="24"/>
  <c r="O1339" i="24"/>
  <c r="O1341" i="24"/>
  <c r="O1342" i="24"/>
  <c r="O1343" i="24"/>
  <c r="O1344" i="24"/>
  <c r="O1345" i="24"/>
  <c r="O1346" i="24"/>
  <c r="O1347" i="24"/>
  <c r="O1348" i="24"/>
  <c r="O1349" i="24"/>
  <c r="O1350" i="24"/>
  <c r="O1351" i="24"/>
  <c r="O1352" i="24"/>
  <c r="O1353" i="24"/>
  <c r="O1354" i="24"/>
  <c r="O1355" i="24"/>
  <c r="O1356" i="24"/>
  <c r="O1357" i="24"/>
  <c r="O1358" i="24"/>
  <c r="O1359" i="24"/>
  <c r="O1360" i="24"/>
  <c r="O1361" i="24"/>
  <c r="O1362" i="24"/>
  <c r="O1363" i="24"/>
  <c r="O1364" i="24"/>
  <c r="O1366" i="24"/>
  <c r="O1367" i="24"/>
  <c r="O1368" i="24"/>
  <c r="O1369" i="24"/>
  <c r="O1370" i="24"/>
  <c r="O1371" i="24"/>
  <c r="O1372" i="24"/>
  <c r="O1373" i="24"/>
  <c r="O1374" i="24"/>
  <c r="O1375" i="24"/>
  <c r="O1376" i="24"/>
  <c r="O1377" i="24"/>
  <c r="O1378" i="24"/>
  <c r="O1379" i="24"/>
  <c r="O1380" i="24"/>
  <c r="O1381" i="24"/>
  <c r="O1382" i="24"/>
  <c r="O1383" i="24"/>
  <c r="O1384" i="24"/>
  <c r="O1385" i="24"/>
  <c r="O1386" i="24"/>
  <c r="O1387" i="24"/>
  <c r="O1388" i="24"/>
  <c r="O1389" i="24"/>
  <c r="O1390" i="24"/>
  <c r="O1391" i="24"/>
  <c r="O1392" i="24"/>
  <c r="O1393" i="24"/>
  <c r="O1394" i="24"/>
  <c r="O1395" i="24"/>
  <c r="O1396" i="24"/>
  <c r="O1397" i="24"/>
  <c r="O1398" i="24"/>
  <c r="O1399" i="24"/>
  <c r="O1401" i="24"/>
  <c r="O1402" i="24"/>
  <c r="O1403" i="24"/>
  <c r="O1404" i="24"/>
  <c r="O1405" i="24"/>
  <c r="O1406" i="24"/>
  <c r="O1407" i="24"/>
  <c r="O1408" i="24"/>
  <c r="O1412" i="24"/>
  <c r="O1413" i="24"/>
  <c r="O1414" i="24"/>
  <c r="O1415" i="24"/>
  <c r="O1416" i="24"/>
  <c r="O1417" i="24"/>
  <c r="O1418" i="24"/>
  <c r="O1419" i="24"/>
  <c r="O1420" i="24"/>
  <c r="O1421" i="24"/>
  <c r="O1422" i="24"/>
  <c r="O1423" i="24"/>
  <c r="O1424" i="24"/>
  <c r="O1425" i="24"/>
  <c r="O1426" i="24"/>
  <c r="O1427" i="24"/>
  <c r="O1428" i="24"/>
  <c r="O1429" i="24"/>
  <c r="O1430" i="24"/>
  <c r="O1431" i="24"/>
  <c r="O1432" i="24"/>
  <c r="O1433" i="24"/>
  <c r="O1434" i="24"/>
  <c r="O1435" i="24"/>
  <c r="O1436" i="24"/>
  <c r="O1437" i="24"/>
  <c r="O1438" i="24"/>
  <c r="O1439" i="24"/>
  <c r="O1440" i="24"/>
  <c r="O1441" i="24"/>
  <c r="O1442" i="24"/>
  <c r="O1443" i="24"/>
  <c r="O1444" i="24"/>
  <c r="O1445" i="24"/>
  <c r="O1446" i="24"/>
  <c r="O1447" i="24"/>
  <c r="O1448" i="24"/>
  <c r="O1449" i="24"/>
  <c r="O1450" i="24"/>
  <c r="O1451" i="24"/>
  <c r="O1452" i="24"/>
  <c r="O1453" i="24"/>
  <c r="O1454" i="24"/>
  <c r="O1455" i="24"/>
  <c r="O1456" i="24"/>
  <c r="O1457" i="24"/>
  <c r="O1458" i="24"/>
  <c r="O1459" i="24"/>
  <c r="O1460" i="24"/>
  <c r="O1461" i="24"/>
  <c r="O1462" i="24"/>
  <c r="O1463" i="24"/>
  <c r="O1464" i="24"/>
  <c r="O1465" i="24"/>
  <c r="O1466" i="24"/>
  <c r="O1467" i="24"/>
  <c r="O1468" i="24"/>
  <c r="O1469" i="24"/>
  <c r="O1470" i="24"/>
  <c r="O1471" i="24"/>
  <c r="O1472" i="24"/>
  <c r="O1473" i="24"/>
  <c r="O1474" i="24"/>
  <c r="O1475" i="24"/>
  <c r="O1476" i="24"/>
  <c r="O1477" i="24"/>
  <c r="O1478" i="24"/>
  <c r="K364" i="25"/>
  <c r="O6" i="25"/>
  <c r="O8" i="25"/>
  <c r="O9" i="25"/>
  <c r="O10" i="25"/>
  <c r="O11" i="25"/>
  <c r="O12" i="25"/>
  <c r="O13" i="25"/>
  <c r="O14" i="25"/>
  <c r="O15" i="25"/>
  <c r="O16" i="25"/>
  <c r="O17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7" i="25"/>
  <c r="O58" i="25"/>
  <c r="O59" i="25"/>
  <c r="O60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4" i="25"/>
  <c r="O175" i="25"/>
  <c r="O176" i="25"/>
  <c r="O177" i="25"/>
  <c r="O178" i="25"/>
  <c r="O179" i="25"/>
  <c r="O180" i="25"/>
  <c r="O181" i="25"/>
  <c r="O182" i="25"/>
  <c r="O183" i="25"/>
  <c r="O184" i="25"/>
  <c r="O185" i="25"/>
  <c r="O186" i="25"/>
  <c r="O187" i="25"/>
  <c r="O188" i="25"/>
  <c r="O189" i="25"/>
  <c r="O190" i="25"/>
  <c r="O191" i="25"/>
  <c r="O192" i="25"/>
  <c r="O193" i="25"/>
  <c r="O194" i="25"/>
  <c r="O195" i="25"/>
  <c r="O196" i="25"/>
  <c r="O197" i="25"/>
  <c r="O198" i="25"/>
  <c r="O199" i="25"/>
  <c r="O202" i="25"/>
  <c r="O203" i="25"/>
  <c r="O204" i="25"/>
  <c r="O205" i="25"/>
  <c r="O206" i="25"/>
  <c r="O207" i="25"/>
  <c r="O208" i="25"/>
  <c r="O209" i="25"/>
  <c r="O210" i="25"/>
  <c r="O211" i="25"/>
  <c r="O212" i="25"/>
  <c r="O213" i="25"/>
  <c r="O214" i="25"/>
  <c r="O215" i="25"/>
  <c r="O216" i="25"/>
  <c r="O217" i="25"/>
  <c r="O218" i="25"/>
  <c r="O219" i="25"/>
  <c r="O220" i="25"/>
  <c r="O222" i="25"/>
  <c r="O223" i="25"/>
  <c r="O224" i="25"/>
  <c r="O225" i="25"/>
  <c r="O226" i="25"/>
  <c r="O227" i="25"/>
  <c r="O228" i="25"/>
  <c r="O229" i="25"/>
  <c r="O230" i="25"/>
  <c r="O231" i="25"/>
  <c r="O232" i="25"/>
  <c r="O233" i="25"/>
  <c r="O234" i="25"/>
  <c r="O235" i="25"/>
  <c r="O236" i="25"/>
  <c r="O237" i="25"/>
  <c r="O238" i="25"/>
  <c r="O239" i="25"/>
  <c r="O240" i="25"/>
  <c r="O241" i="25"/>
  <c r="O242" i="25"/>
  <c r="O243" i="25"/>
  <c r="O244" i="25"/>
  <c r="O245" i="25"/>
  <c r="O246" i="25"/>
  <c r="O247" i="25"/>
  <c r="O248" i="25"/>
  <c r="O249" i="25"/>
  <c r="O250" i="25"/>
  <c r="O251" i="25"/>
  <c r="O252" i="25"/>
  <c r="O253" i="25"/>
  <c r="O254" i="25"/>
  <c r="O255" i="25"/>
  <c r="O256" i="25"/>
  <c r="O257" i="25"/>
  <c r="O258" i="25"/>
  <c r="O259" i="25"/>
  <c r="O260" i="25"/>
  <c r="O261" i="25"/>
  <c r="O262" i="25"/>
  <c r="O263" i="25"/>
  <c r="O264" i="25"/>
  <c r="O265" i="25"/>
  <c r="O267" i="25"/>
  <c r="O268" i="25"/>
  <c r="O269" i="25"/>
  <c r="O271" i="25"/>
  <c r="O272" i="25"/>
  <c r="O273" i="25"/>
  <c r="O274" i="25"/>
  <c r="O275" i="25"/>
  <c r="O277" i="25"/>
  <c r="O278" i="25"/>
  <c r="O279" i="25"/>
  <c r="O280" i="25"/>
  <c r="O282" i="25"/>
  <c r="O283" i="25"/>
  <c r="O284" i="25"/>
  <c r="O285" i="25"/>
  <c r="O287" i="25"/>
  <c r="O288" i="25"/>
  <c r="O290" i="25"/>
  <c r="O291" i="25"/>
  <c r="O292" i="25"/>
  <c r="O294" i="25"/>
  <c r="O295" i="25"/>
  <c r="O296" i="25"/>
  <c r="O297" i="25"/>
  <c r="O298" i="25"/>
  <c r="O299" i="25"/>
  <c r="O300" i="25"/>
  <c r="O302" i="25"/>
  <c r="O303" i="25"/>
  <c r="O304" i="25"/>
  <c r="O305" i="25"/>
  <c r="O306" i="25"/>
  <c r="O307" i="25"/>
  <c r="O308" i="25"/>
  <c r="O309" i="25"/>
  <c r="O310" i="25"/>
  <c r="O311" i="25"/>
  <c r="O312" i="25"/>
  <c r="O313" i="25"/>
  <c r="O314" i="25"/>
  <c r="O315" i="25"/>
  <c r="O316" i="25"/>
  <c r="O317" i="25"/>
  <c r="O318" i="25"/>
  <c r="O319" i="25"/>
  <c r="O320" i="25"/>
  <c r="O321" i="25"/>
  <c r="O322" i="25"/>
  <c r="O323" i="25"/>
  <c r="O324" i="25"/>
  <c r="O325" i="25"/>
  <c r="O326" i="25"/>
  <c r="O327" i="25"/>
  <c r="O328" i="25"/>
  <c r="O329" i="25"/>
  <c r="O330" i="25"/>
  <c r="O331" i="25"/>
  <c r="O332" i="25"/>
  <c r="O333" i="25"/>
  <c r="O334" i="25"/>
  <c r="O335" i="25"/>
  <c r="O336" i="25"/>
  <c r="O337" i="25"/>
  <c r="O338" i="25"/>
  <c r="O339" i="25"/>
  <c r="O340" i="25"/>
  <c r="O341" i="25"/>
  <c r="O342" i="25"/>
  <c r="O343" i="25"/>
  <c r="O344" i="25"/>
  <c r="O345" i="25"/>
  <c r="O346" i="25"/>
  <c r="O347" i="25"/>
  <c r="O348" i="25"/>
  <c r="O349" i="25"/>
  <c r="O350" i="25"/>
  <c r="O351" i="25"/>
  <c r="O352" i="25"/>
  <c r="O353" i="25"/>
  <c r="O354" i="25"/>
  <c r="O355" i="25"/>
  <c r="O356" i="25"/>
  <c r="O357" i="25"/>
  <c r="O358" i="25"/>
  <c r="O359" i="25"/>
  <c r="O360" i="25"/>
  <c r="O361" i="25"/>
  <c r="O362" i="25"/>
  <c r="O363" i="25"/>
  <c r="O366" i="25"/>
  <c r="O367" i="25"/>
  <c r="O368" i="25"/>
  <c r="O369" i="25"/>
  <c r="O370" i="25"/>
  <c r="O371" i="25"/>
  <c r="O372" i="25"/>
  <c r="O373" i="25"/>
  <c r="O374" i="25"/>
  <c r="O375" i="25"/>
  <c r="O376" i="25"/>
  <c r="O377" i="25"/>
  <c r="O378" i="25"/>
  <c r="O379" i="25"/>
  <c r="O380" i="25"/>
  <c r="O381" i="25"/>
  <c r="O382" i="25"/>
  <c r="O383" i="25"/>
  <c r="O384" i="25"/>
  <c r="O385" i="25"/>
  <c r="O386" i="25"/>
  <c r="O387" i="25"/>
  <c r="O388" i="25"/>
  <c r="O389" i="25"/>
  <c r="O390" i="25"/>
  <c r="O391" i="25"/>
  <c r="O392" i="25"/>
  <c r="O393" i="25"/>
  <c r="O394" i="25"/>
  <c r="O395" i="25"/>
  <c r="O396" i="25"/>
  <c r="O397" i="25"/>
  <c r="O398" i="25"/>
  <c r="O399" i="25"/>
  <c r="O400" i="25"/>
  <c r="O402" i="25"/>
  <c r="O404" i="25"/>
  <c r="O405" i="25"/>
  <c r="O406" i="25"/>
  <c r="O407" i="25"/>
  <c r="O408" i="25"/>
  <c r="O409" i="25"/>
  <c r="O410" i="25"/>
  <c r="O411" i="25"/>
  <c r="O412" i="25"/>
  <c r="O413" i="25"/>
  <c r="O414" i="25"/>
  <c r="O415" i="25"/>
  <c r="O416" i="25"/>
  <c r="O417" i="25"/>
  <c r="O418" i="25"/>
  <c r="O420" i="25"/>
  <c r="O421" i="25"/>
  <c r="O422" i="25"/>
  <c r="O423" i="25"/>
  <c r="O424" i="25"/>
  <c r="O425" i="25"/>
  <c r="O426" i="25"/>
  <c r="O427" i="25"/>
  <c r="O428" i="25"/>
  <c r="O429" i="25"/>
  <c r="O430" i="25"/>
  <c r="O431" i="25"/>
  <c r="O432" i="25"/>
  <c r="O433" i="25"/>
  <c r="O434" i="25"/>
  <c r="O435" i="25"/>
  <c r="O436" i="25"/>
  <c r="O437" i="25"/>
  <c r="O439" i="25"/>
  <c r="O440" i="25"/>
  <c r="O441" i="25"/>
  <c r="O442" i="25"/>
  <c r="O443" i="25"/>
  <c r="O444" i="25"/>
  <c r="O445" i="25"/>
  <c r="O446" i="25"/>
  <c r="O447" i="25"/>
  <c r="O448" i="25"/>
  <c r="O449" i="25"/>
  <c r="O450" i="25"/>
  <c r="O451" i="25"/>
  <c r="O452" i="25"/>
  <c r="O453" i="25"/>
  <c r="O454" i="25"/>
  <c r="O455" i="25"/>
  <c r="O456" i="25"/>
  <c r="O457" i="25"/>
  <c r="O458" i="25"/>
  <c r="O459" i="25"/>
  <c r="O460" i="25"/>
  <c r="O461" i="25"/>
  <c r="O462" i="25"/>
  <c r="O463" i="25"/>
  <c r="O464" i="25"/>
  <c r="O465" i="25"/>
  <c r="O466" i="25"/>
  <c r="O467" i="25"/>
  <c r="O468" i="25"/>
  <c r="O469" i="25"/>
  <c r="O470" i="25"/>
  <c r="O471" i="25"/>
  <c r="O472" i="25"/>
  <c r="O473" i="25"/>
  <c r="O474" i="25"/>
  <c r="O475" i="25"/>
  <c r="O476" i="25"/>
  <c r="O477" i="25"/>
  <c r="O478" i="25"/>
  <c r="O479" i="25"/>
  <c r="O480" i="25"/>
  <c r="O481" i="25"/>
  <c r="O482" i="25"/>
  <c r="O483" i="25"/>
  <c r="O484" i="25"/>
  <c r="O485" i="25"/>
  <c r="O486" i="25"/>
  <c r="O487" i="25"/>
  <c r="O488" i="25"/>
  <c r="O489" i="25"/>
  <c r="O490" i="25"/>
  <c r="O491" i="25"/>
  <c r="O492" i="25"/>
  <c r="O493" i="25"/>
  <c r="O494" i="25"/>
  <c r="O495" i="25"/>
  <c r="O496" i="25"/>
  <c r="O497" i="25"/>
  <c r="O498" i="25"/>
  <c r="O499" i="25"/>
  <c r="O500" i="25"/>
  <c r="O501" i="25"/>
  <c r="O502" i="25"/>
  <c r="O503" i="25"/>
  <c r="O504" i="25"/>
  <c r="O505" i="25"/>
  <c r="O506" i="25"/>
  <c r="O507" i="25"/>
  <c r="O508" i="25"/>
  <c r="O509" i="25"/>
  <c r="O510" i="25"/>
  <c r="O511" i="25"/>
  <c r="O512" i="25"/>
  <c r="O513" i="25"/>
  <c r="O514" i="25"/>
  <c r="O515" i="25"/>
  <c r="O516" i="25"/>
  <c r="O517" i="25"/>
  <c r="O518" i="25"/>
  <c r="O519" i="25"/>
  <c r="O520" i="25"/>
  <c r="O521" i="25"/>
  <c r="O522" i="25"/>
  <c r="O523" i="25"/>
  <c r="O524" i="25"/>
  <c r="O525" i="25"/>
  <c r="O526" i="25"/>
  <c r="O527" i="25"/>
  <c r="O528" i="25"/>
  <c r="O529" i="25"/>
  <c r="O530" i="25"/>
  <c r="O531" i="25"/>
  <c r="O532" i="25"/>
  <c r="O533" i="25"/>
  <c r="O534" i="25"/>
  <c r="O535" i="25"/>
  <c r="O536" i="25"/>
  <c r="O537" i="25"/>
  <c r="O538" i="25"/>
  <c r="O539" i="25"/>
  <c r="O540" i="25"/>
  <c r="O541" i="25"/>
  <c r="O542" i="25"/>
  <c r="O543" i="25"/>
  <c r="O544" i="25"/>
  <c r="O545" i="25"/>
  <c r="O546" i="25"/>
  <c r="O547" i="25"/>
  <c r="O548" i="25"/>
  <c r="O549" i="25"/>
  <c r="O551" i="25"/>
  <c r="O552" i="25"/>
  <c r="O553" i="25"/>
  <c r="O554" i="25"/>
  <c r="O555" i="25"/>
  <c r="O556" i="25"/>
  <c r="O557" i="25"/>
  <c r="O558" i="25"/>
  <c r="O559" i="25"/>
  <c r="O560" i="25"/>
  <c r="O561" i="25"/>
  <c r="O562" i="25"/>
  <c r="O563" i="25"/>
  <c r="O564" i="25"/>
  <c r="O565" i="25"/>
  <c r="O566" i="25"/>
  <c r="O567" i="25"/>
  <c r="O568" i="25"/>
  <c r="O569" i="25"/>
  <c r="O570" i="25"/>
  <c r="O571" i="25"/>
  <c r="O572" i="25"/>
  <c r="O573" i="25"/>
  <c r="O574" i="25"/>
  <c r="O575" i="25"/>
  <c r="O576" i="25"/>
  <c r="O577" i="25"/>
  <c r="O578" i="25"/>
  <c r="O580" i="25"/>
  <c r="O581" i="25"/>
  <c r="O582" i="25"/>
  <c r="O583" i="25"/>
  <c r="O584" i="25"/>
  <c r="O585" i="25"/>
  <c r="O586" i="25"/>
  <c r="O588" i="25"/>
  <c r="O589" i="25"/>
  <c r="O590" i="25"/>
  <c r="O591" i="25"/>
  <c r="O592" i="25"/>
  <c r="O593" i="25"/>
  <c r="O594" i="25"/>
  <c r="O595" i="25"/>
  <c r="O596" i="25"/>
  <c r="O597" i="25"/>
  <c r="O598" i="25"/>
  <c r="O599" i="25"/>
  <c r="O600" i="25"/>
  <c r="O601" i="25"/>
  <c r="O602" i="25"/>
  <c r="O603" i="25"/>
  <c r="O604" i="25"/>
  <c r="O605" i="25"/>
  <c r="O606" i="25"/>
  <c r="O607" i="25"/>
  <c r="O608" i="25"/>
  <c r="O609" i="25"/>
  <c r="O610" i="25"/>
  <c r="O611" i="25"/>
  <c r="O612" i="25"/>
  <c r="O613" i="25"/>
  <c r="O614" i="25"/>
  <c r="O615" i="25"/>
  <c r="O616" i="25"/>
  <c r="O617" i="25"/>
  <c r="O618" i="25"/>
  <c r="O619" i="25"/>
  <c r="O620" i="25"/>
  <c r="O621" i="25"/>
  <c r="O622" i="25"/>
  <c r="O623" i="25"/>
  <c r="O624" i="25"/>
  <c r="O625" i="25"/>
  <c r="O626" i="25"/>
  <c r="O627" i="25"/>
  <c r="O628" i="25"/>
  <c r="O629" i="25"/>
  <c r="O630" i="25"/>
  <c r="O631" i="25"/>
  <c r="O633" i="25"/>
  <c r="O634" i="25"/>
  <c r="O635" i="25"/>
  <c r="O636" i="25"/>
  <c r="O637" i="25"/>
  <c r="O638" i="25"/>
  <c r="O639" i="25"/>
  <c r="O640" i="25"/>
  <c r="O641" i="25"/>
  <c r="O642" i="25"/>
  <c r="O643" i="25"/>
  <c r="O644" i="25"/>
  <c r="O645" i="25"/>
  <c r="O646" i="25"/>
  <c r="O647" i="25"/>
  <c r="O648" i="25"/>
  <c r="O649" i="25"/>
  <c r="O650" i="25"/>
  <c r="O651" i="25"/>
  <c r="O652" i="25"/>
  <c r="O653" i="25"/>
  <c r="O654" i="25"/>
  <c r="O655" i="25"/>
  <c r="O656" i="25"/>
  <c r="O657" i="25"/>
  <c r="O658" i="25"/>
  <c r="O659" i="25"/>
  <c r="O660" i="25"/>
  <c r="O661" i="25"/>
  <c r="O662" i="25"/>
  <c r="O663" i="25"/>
  <c r="O664" i="25"/>
  <c r="O665" i="25"/>
  <c r="O666" i="25"/>
  <c r="O667" i="25"/>
  <c r="O668" i="25"/>
  <c r="O669" i="25"/>
  <c r="O670" i="25"/>
  <c r="O671" i="25"/>
  <c r="O672" i="25"/>
  <c r="O673" i="25"/>
  <c r="O674" i="25"/>
  <c r="O675" i="25"/>
  <c r="O676" i="25"/>
  <c r="O677" i="25"/>
  <c r="O678" i="25"/>
  <c r="O679" i="25"/>
  <c r="O680" i="25"/>
  <c r="O681" i="25"/>
  <c r="O682" i="25"/>
  <c r="O683" i="25"/>
  <c r="O684" i="25"/>
  <c r="O685" i="25"/>
  <c r="O686" i="25"/>
  <c r="O687" i="25"/>
  <c r="O688" i="25"/>
  <c r="O689" i="25"/>
  <c r="O690" i="25"/>
  <c r="O691" i="25"/>
  <c r="O692" i="25"/>
  <c r="O693" i="25"/>
  <c r="O694" i="25"/>
  <c r="O695" i="25"/>
  <c r="O696" i="25"/>
  <c r="O697" i="25"/>
  <c r="O698" i="25"/>
  <c r="O699" i="25"/>
  <c r="O700" i="25"/>
  <c r="O701" i="25"/>
  <c r="O702" i="25"/>
  <c r="O703" i="25"/>
  <c r="O704" i="25"/>
  <c r="O705" i="25"/>
  <c r="O706" i="25"/>
  <c r="O707" i="25"/>
  <c r="O708" i="25"/>
  <c r="O709" i="25"/>
  <c r="O710" i="25"/>
  <c r="O711" i="25"/>
  <c r="O712" i="25"/>
  <c r="O713" i="25"/>
  <c r="O714" i="25"/>
  <c r="O715" i="25"/>
  <c r="O716" i="25"/>
  <c r="O717" i="25"/>
  <c r="O718" i="25"/>
  <c r="O719" i="25"/>
  <c r="O720" i="25"/>
  <c r="O721" i="25"/>
  <c r="O722" i="25"/>
  <c r="O723" i="25"/>
  <c r="O724" i="25"/>
  <c r="O725" i="25"/>
  <c r="O726" i="25"/>
  <c r="O727" i="25"/>
  <c r="O728" i="25"/>
  <c r="O729" i="25"/>
  <c r="O730" i="25"/>
  <c r="O731" i="25"/>
  <c r="O732" i="25"/>
  <c r="O733" i="25"/>
  <c r="O734" i="25"/>
  <c r="O735" i="25"/>
  <c r="O736" i="25"/>
  <c r="O737" i="25"/>
  <c r="O738" i="25"/>
  <c r="O739" i="25"/>
  <c r="O740" i="25"/>
  <c r="O741" i="25"/>
  <c r="O742" i="25"/>
  <c r="O743" i="25"/>
  <c r="O744" i="25"/>
  <c r="O746" i="25"/>
  <c r="O747" i="25"/>
  <c r="O748" i="25"/>
  <c r="O749" i="25"/>
  <c r="O750" i="25"/>
  <c r="O751" i="25"/>
  <c r="O752" i="25"/>
  <c r="O753" i="25"/>
  <c r="O754" i="25"/>
  <c r="O755" i="25"/>
  <c r="O756" i="25"/>
  <c r="O757" i="25"/>
  <c r="O758" i="25"/>
  <c r="O759" i="25"/>
  <c r="O760" i="25"/>
  <c r="O761" i="25"/>
  <c r="O762" i="25"/>
  <c r="O763" i="25"/>
  <c r="O764" i="25"/>
  <c r="O765" i="25"/>
  <c r="O766" i="25"/>
  <c r="O767" i="25"/>
  <c r="O768" i="25"/>
  <c r="O769" i="25"/>
  <c r="O770" i="25"/>
  <c r="O771" i="25"/>
  <c r="O772" i="25"/>
  <c r="O773" i="25"/>
  <c r="O774" i="25"/>
  <c r="O775" i="25"/>
  <c r="O776" i="25"/>
  <c r="O777" i="25"/>
  <c r="O778" i="25"/>
  <c r="O779" i="25"/>
  <c r="O780" i="25"/>
  <c r="O781" i="25"/>
  <c r="O782" i="25"/>
  <c r="O783" i="25"/>
  <c r="O784" i="25"/>
  <c r="O785" i="25"/>
  <c r="O786" i="25"/>
  <c r="O787" i="25"/>
  <c r="O788" i="25"/>
  <c r="O789" i="25"/>
  <c r="O790" i="25"/>
  <c r="O791" i="25"/>
  <c r="O792" i="25"/>
  <c r="O794" i="25"/>
  <c r="O795" i="25"/>
  <c r="O796" i="25"/>
  <c r="O797" i="25"/>
  <c r="O798" i="25"/>
  <c r="O799" i="25"/>
  <c r="O800" i="25"/>
  <c r="O801" i="25"/>
  <c r="O802" i="25"/>
  <c r="O803" i="25"/>
  <c r="O804" i="25"/>
  <c r="O805" i="25"/>
  <c r="O806" i="25"/>
  <c r="O807" i="25"/>
  <c r="O808" i="25"/>
  <c r="O809" i="25"/>
  <c r="O810" i="25"/>
  <c r="O811" i="25"/>
  <c r="O812" i="25"/>
  <c r="O813" i="25"/>
  <c r="O814" i="25"/>
  <c r="O815" i="25"/>
  <c r="O816" i="25"/>
  <c r="O817" i="25"/>
  <c r="O818" i="25"/>
  <c r="O820" i="25"/>
  <c r="O821" i="25"/>
  <c r="O822" i="25"/>
  <c r="O823" i="25"/>
  <c r="O824" i="25"/>
  <c r="O825" i="25"/>
  <c r="O826" i="25"/>
  <c r="O827" i="25"/>
  <c r="O828" i="25"/>
  <c r="O829" i="25"/>
  <c r="O830" i="25"/>
  <c r="O831" i="25"/>
  <c r="O832" i="25"/>
  <c r="O833" i="25"/>
  <c r="O834" i="25"/>
  <c r="O835" i="25"/>
  <c r="O837" i="25"/>
  <c r="O838" i="25"/>
  <c r="O839" i="25"/>
  <c r="O840" i="25"/>
  <c r="O841" i="25"/>
  <c r="O842" i="25"/>
  <c r="O843" i="25"/>
  <c r="O845" i="25"/>
  <c r="O846" i="25"/>
  <c r="O847" i="25"/>
  <c r="O849" i="25"/>
  <c r="O850" i="25"/>
  <c r="O851" i="25"/>
  <c r="O852" i="25"/>
  <c r="O853" i="25"/>
  <c r="O854" i="25"/>
  <c r="O855" i="25"/>
  <c r="O856" i="25"/>
  <c r="O857" i="25"/>
  <c r="O858" i="25"/>
  <c r="O859" i="25"/>
  <c r="O860" i="25"/>
  <c r="O861" i="25"/>
  <c r="O862" i="25"/>
  <c r="O863" i="25"/>
  <c r="O864" i="25"/>
  <c r="O866" i="25"/>
  <c r="O868" i="25"/>
  <c r="O869" i="25"/>
  <c r="O870" i="25"/>
  <c r="O871" i="25"/>
  <c r="O872" i="25"/>
  <c r="O873" i="25"/>
  <c r="O874" i="25"/>
  <c r="O875" i="25"/>
  <c r="O876" i="25"/>
  <c r="O877" i="25"/>
  <c r="O878" i="25"/>
  <c r="O879" i="25"/>
  <c r="O880" i="25"/>
  <c r="O881" i="25"/>
  <c r="O882" i="25"/>
  <c r="O883" i="25"/>
  <c r="O884" i="25"/>
  <c r="O885" i="25"/>
  <c r="O886" i="25"/>
  <c r="O887" i="25"/>
  <c r="O888" i="25"/>
  <c r="O889" i="25"/>
  <c r="O890" i="25"/>
  <c r="O893" i="25"/>
  <c r="O895" i="25"/>
  <c r="O896" i="25"/>
  <c r="O897" i="25"/>
  <c r="O898" i="25"/>
  <c r="O899" i="25"/>
  <c r="O900" i="25"/>
  <c r="O901" i="25"/>
  <c r="O902" i="25"/>
  <c r="O903" i="25"/>
  <c r="O904" i="25"/>
  <c r="O905" i="25"/>
  <c r="O906" i="25"/>
  <c r="O907" i="25"/>
  <c r="O908" i="25"/>
  <c r="O909" i="25"/>
  <c r="O910" i="25"/>
  <c r="O911" i="25"/>
  <c r="O913" i="25"/>
  <c r="O914" i="25"/>
  <c r="O915" i="25"/>
  <c r="O916" i="25"/>
  <c r="O917" i="25"/>
  <c r="O918" i="25"/>
  <c r="O919" i="25"/>
  <c r="O920" i="25"/>
  <c r="O921" i="25"/>
  <c r="O922" i="25"/>
  <c r="O923" i="25"/>
  <c r="O924" i="25"/>
  <c r="O925" i="25"/>
  <c r="O926" i="25"/>
  <c r="O927" i="25"/>
  <c r="O928" i="25"/>
  <c r="O929" i="25"/>
  <c r="O930" i="25"/>
  <c r="O931" i="25"/>
  <c r="O932" i="25"/>
  <c r="O933" i="25"/>
  <c r="O934" i="25"/>
  <c r="O935" i="25"/>
  <c r="O937" i="25"/>
  <c r="O938" i="25"/>
  <c r="O939" i="25"/>
  <c r="O940" i="25"/>
  <c r="O941" i="25"/>
  <c r="O942" i="25"/>
  <c r="O943" i="25"/>
  <c r="O944" i="25"/>
  <c r="O945" i="25"/>
  <c r="O946" i="25"/>
  <c r="O947" i="25"/>
  <c r="O948" i="25"/>
  <c r="O949" i="25"/>
  <c r="O950" i="25"/>
  <c r="O951" i="25"/>
  <c r="O952" i="25"/>
  <c r="O953" i="25"/>
  <c r="O954" i="25"/>
  <c r="O955" i="25"/>
  <c r="O956" i="25"/>
  <c r="O957" i="25"/>
  <c r="O958" i="25"/>
  <c r="O960" i="25"/>
  <c r="O961" i="25"/>
  <c r="O962" i="25"/>
  <c r="O963" i="25"/>
  <c r="O964" i="25"/>
  <c r="O965" i="25"/>
  <c r="O966" i="25"/>
  <c r="O967" i="25"/>
  <c r="O968" i="25"/>
  <c r="O969" i="25"/>
  <c r="O970" i="25"/>
  <c r="O971" i="25"/>
  <c r="O972" i="25"/>
  <c r="O973" i="25"/>
  <c r="O974" i="25"/>
  <c r="O975" i="25"/>
  <c r="O976" i="25"/>
  <c r="O977" i="25"/>
  <c r="O978" i="25"/>
  <c r="O979" i="25"/>
  <c r="O980" i="25"/>
  <c r="O981" i="25"/>
  <c r="O982" i="25"/>
  <c r="O983" i="25"/>
  <c r="O984" i="25"/>
  <c r="O985" i="25"/>
  <c r="O986" i="25"/>
  <c r="O987" i="25"/>
  <c r="O988" i="25"/>
  <c r="O989" i="25"/>
  <c r="O990" i="25"/>
  <c r="O991" i="25"/>
  <c r="O992" i="25"/>
  <c r="O993" i="25"/>
  <c r="O994" i="25"/>
  <c r="O995" i="25"/>
  <c r="O996" i="25"/>
  <c r="O997" i="25"/>
  <c r="O998" i="25"/>
  <c r="O999" i="25"/>
  <c r="O1000" i="25"/>
  <c r="O1001" i="25"/>
  <c r="O1002" i="25"/>
  <c r="O1003" i="25"/>
  <c r="O1004" i="25"/>
  <c r="O1005" i="25"/>
  <c r="O1006" i="25"/>
  <c r="O1007" i="25"/>
  <c r="O1008" i="25"/>
  <c r="O1009" i="25"/>
  <c r="O1010" i="25"/>
  <c r="O1011" i="25"/>
  <c r="O1012" i="25"/>
  <c r="O1013" i="25"/>
  <c r="O1014" i="25"/>
  <c r="O1015" i="25"/>
  <c r="O1016" i="25"/>
  <c r="O1017" i="25"/>
  <c r="O1018" i="25"/>
  <c r="O1019" i="25"/>
  <c r="O1020" i="25"/>
  <c r="O1021" i="25"/>
  <c r="O1022" i="25"/>
  <c r="O1023" i="25"/>
  <c r="O1024" i="25"/>
  <c r="O1025" i="25"/>
  <c r="O1026" i="25"/>
  <c r="O1027" i="25"/>
  <c r="O1028" i="25"/>
  <c r="O1029" i="25"/>
  <c r="O1030" i="25"/>
  <c r="O1031" i="25"/>
  <c r="O1032" i="25"/>
  <c r="O1033" i="25"/>
  <c r="O1034" i="25"/>
  <c r="O1035" i="25"/>
  <c r="O1036" i="25"/>
  <c r="O1037" i="25"/>
  <c r="O1038" i="25"/>
  <c r="O1039" i="25"/>
  <c r="O1040" i="25"/>
  <c r="O1042" i="25"/>
  <c r="O1043" i="25"/>
  <c r="O1044" i="25"/>
  <c r="O1045" i="25"/>
  <c r="O1046" i="25"/>
  <c r="O1047" i="25"/>
  <c r="O1048" i="25"/>
  <c r="O1049" i="25"/>
  <c r="O1050" i="25"/>
  <c r="O1051" i="25"/>
  <c r="O1052" i="25"/>
  <c r="O1053" i="25"/>
  <c r="O1054" i="25"/>
  <c r="O1055" i="25"/>
  <c r="O1056" i="25"/>
  <c r="O1057" i="25"/>
  <c r="O1058" i="25"/>
  <c r="O1059" i="25"/>
  <c r="O1060" i="25"/>
  <c r="O1061" i="25"/>
  <c r="O1062" i="25"/>
  <c r="O1063" i="25"/>
  <c r="O1064" i="25"/>
  <c r="O1066" i="25"/>
  <c r="O1067" i="25"/>
  <c r="O1068" i="25"/>
  <c r="O1069" i="25"/>
  <c r="O1070" i="25"/>
  <c r="O1071" i="25"/>
  <c r="O1072" i="25"/>
  <c r="O1073" i="25"/>
  <c r="O1074" i="25"/>
  <c r="O1075" i="25"/>
  <c r="O1076" i="25"/>
  <c r="O1077" i="25"/>
  <c r="O1078" i="25"/>
  <c r="O1080" i="25"/>
  <c r="O1081" i="25"/>
  <c r="O1082" i="25"/>
  <c r="O1083" i="25"/>
  <c r="O1084" i="25"/>
  <c r="O1085" i="25"/>
  <c r="O1086" i="25"/>
  <c r="O1087" i="25"/>
  <c r="O1088" i="25"/>
  <c r="O1089" i="25"/>
  <c r="O1090" i="25"/>
  <c r="O1091" i="25"/>
  <c r="O1092" i="25"/>
  <c r="O1093" i="25"/>
  <c r="O1094" i="25"/>
  <c r="O1095" i="25"/>
  <c r="O1096" i="25"/>
  <c r="O1097" i="25"/>
  <c r="O1098" i="25"/>
  <c r="O1099" i="25"/>
  <c r="O1100" i="25"/>
  <c r="O1101" i="25"/>
  <c r="O1102" i="25"/>
  <c r="O1103" i="25"/>
  <c r="O1104" i="25"/>
  <c r="O1105" i="25"/>
  <c r="O1106" i="25"/>
  <c r="O1107" i="25"/>
  <c r="O1108" i="25"/>
  <c r="O1109" i="25"/>
  <c r="O1110" i="25"/>
  <c r="O1111" i="25"/>
  <c r="O1112" i="25"/>
  <c r="O1113" i="25"/>
  <c r="O1114" i="25"/>
  <c r="O1115" i="25"/>
  <c r="O1116" i="25"/>
  <c r="O1117" i="25"/>
  <c r="O1118" i="25"/>
  <c r="O1119" i="25"/>
  <c r="O1120" i="25"/>
  <c r="O1121" i="25"/>
  <c r="O1122" i="25"/>
  <c r="O1123" i="25"/>
  <c r="O1124" i="25"/>
  <c r="O1131" i="25"/>
  <c r="O1132" i="25"/>
  <c r="O1133" i="25"/>
  <c r="O1134" i="25"/>
  <c r="O1135" i="25"/>
  <c r="O1136" i="25"/>
  <c r="O1138" i="25"/>
  <c r="O1139" i="25"/>
  <c r="O1140" i="25"/>
  <c r="O1141" i="25"/>
  <c r="O1142" i="25"/>
  <c r="O1143" i="25"/>
  <c r="O1144" i="25"/>
  <c r="O1145" i="25"/>
  <c r="O1146" i="25"/>
  <c r="O1147" i="25"/>
  <c r="O1148" i="25"/>
  <c r="O1149" i="25"/>
  <c r="O1150" i="25"/>
  <c r="O1151" i="25"/>
  <c r="O1152" i="25"/>
  <c r="O1153" i="25"/>
  <c r="O1154" i="25"/>
  <c r="O1155" i="25"/>
  <c r="O1156" i="25"/>
  <c r="O1157" i="25"/>
  <c r="O1158" i="25"/>
  <c r="O1159" i="25"/>
  <c r="O1160" i="25"/>
  <c r="O1161" i="25"/>
  <c r="O1162" i="25"/>
  <c r="O1163" i="25"/>
  <c r="O1164" i="25"/>
  <c r="O1165" i="25"/>
  <c r="O1166" i="25"/>
  <c r="O1167" i="25"/>
  <c r="O1168" i="25"/>
  <c r="O1169" i="25"/>
  <c r="O1170" i="25"/>
  <c r="O1171" i="25"/>
  <c r="O1172" i="25"/>
  <c r="O1173" i="25"/>
  <c r="O1174" i="25"/>
  <c r="O1175" i="25"/>
  <c r="O1176" i="25"/>
  <c r="O1178" i="25"/>
  <c r="O1179" i="25"/>
  <c r="O1180" i="25"/>
  <c r="O1181" i="25"/>
  <c r="O1182" i="25"/>
  <c r="O1183" i="25"/>
  <c r="O1184" i="25"/>
  <c r="O1185" i="25"/>
  <c r="O1186" i="25"/>
  <c r="O1188" i="25"/>
  <c r="O1189" i="25"/>
  <c r="O1190" i="25"/>
  <c r="O1191" i="25"/>
  <c r="O1192" i="25"/>
  <c r="O1193" i="25"/>
  <c r="O1194" i="25"/>
  <c r="O1195" i="25"/>
  <c r="O1196" i="25"/>
  <c r="O1197" i="25"/>
  <c r="O1198" i="25"/>
  <c r="O1199" i="25"/>
  <c r="O1200" i="25"/>
  <c r="O1201" i="25"/>
  <c r="O1202" i="25"/>
  <c r="O1203" i="25"/>
  <c r="O1204" i="25"/>
  <c r="O1206" i="25"/>
  <c r="O1207" i="25"/>
  <c r="O1208" i="25"/>
  <c r="O1209" i="25"/>
  <c r="O1210" i="25"/>
  <c r="O1211" i="25"/>
  <c r="O1212" i="25"/>
  <c r="O1213" i="25"/>
  <c r="O1214" i="25"/>
  <c r="O1215" i="25"/>
  <c r="O1216" i="25"/>
  <c r="O1217" i="25"/>
  <c r="O1218" i="25"/>
  <c r="O1219" i="25"/>
  <c r="O1221" i="25"/>
  <c r="O1222" i="25"/>
  <c r="O1223" i="25"/>
  <c r="O1224" i="25"/>
  <c r="O1225" i="25"/>
  <c r="O1226" i="25"/>
  <c r="O1227" i="25"/>
  <c r="O1228" i="25"/>
  <c r="O1229" i="25"/>
  <c r="O1230" i="25"/>
  <c r="O1231" i="25"/>
  <c r="O1233" i="25"/>
  <c r="O1234" i="25"/>
  <c r="O1235" i="25"/>
  <c r="O1236" i="25"/>
  <c r="O1237" i="25"/>
  <c r="O1238" i="25"/>
  <c r="O1239" i="25"/>
  <c r="O1240" i="25"/>
  <c r="O1241" i="25"/>
  <c r="O1242" i="25"/>
  <c r="O1243" i="25"/>
  <c r="O1244" i="25"/>
  <c r="O1245" i="25"/>
  <c r="O1246" i="25"/>
  <c r="O1247" i="25"/>
  <c r="O1248" i="25"/>
  <c r="O1249" i="25"/>
  <c r="O1251" i="25"/>
  <c r="O1252" i="25"/>
  <c r="O1253" i="25"/>
  <c r="O1254" i="25"/>
  <c r="O1255" i="25"/>
  <c r="O1256" i="25"/>
  <c r="O1257" i="25"/>
  <c r="O1258" i="25"/>
  <c r="O1259" i="25"/>
  <c r="O1261" i="25"/>
  <c r="O1262" i="25"/>
  <c r="O1264" i="25"/>
  <c r="O1265" i="25"/>
  <c r="O1266" i="25"/>
  <c r="O1268" i="25"/>
  <c r="O1269" i="25"/>
  <c r="O1270" i="25"/>
  <c r="O1271" i="25"/>
  <c r="O1272" i="25"/>
  <c r="O1273" i="25"/>
  <c r="O1274" i="25"/>
  <c r="O1275" i="25"/>
  <c r="O1276" i="25"/>
  <c r="O1277" i="25"/>
  <c r="O1278" i="25"/>
  <c r="O1279" i="25"/>
  <c r="O1280" i="25"/>
  <c r="O1282" i="25"/>
  <c r="O1283" i="25"/>
  <c r="O1284" i="25"/>
  <c r="O1285" i="25"/>
  <c r="O1286" i="25"/>
  <c r="O1287" i="25"/>
  <c r="O1288" i="25"/>
  <c r="O1289" i="25"/>
  <c r="O1290" i="25"/>
  <c r="O1291" i="25"/>
  <c r="O1292" i="25"/>
  <c r="O1293" i="25"/>
  <c r="O1294" i="25"/>
  <c r="O1295" i="25"/>
  <c r="O1296" i="25"/>
  <c r="O1297" i="25"/>
  <c r="O1298" i="25"/>
  <c r="O1299" i="25"/>
  <c r="O1300" i="25"/>
  <c r="O1301" i="25"/>
  <c r="O1302" i="25"/>
  <c r="O1304" i="25"/>
  <c r="O1305" i="25"/>
  <c r="O1306" i="25"/>
  <c r="O1307" i="25"/>
  <c r="O1308" i="25"/>
  <c r="O1310" i="25"/>
  <c r="O1311" i="25"/>
  <c r="O1312" i="25"/>
  <c r="O1313" i="25"/>
  <c r="O1314" i="25"/>
  <c r="O1316" i="25"/>
  <c r="O1320" i="25"/>
  <c r="O1321" i="25"/>
  <c r="O1322" i="25"/>
  <c r="O1323" i="25"/>
  <c r="O1329" i="25"/>
  <c r="O1332" i="25"/>
  <c r="O1333" i="25"/>
  <c r="O1334" i="25"/>
  <c r="O1335" i="25"/>
  <c r="O1336" i="25"/>
  <c r="O1337" i="25"/>
  <c r="O1339" i="25"/>
  <c r="O1340" i="25"/>
  <c r="O1342" i="25"/>
  <c r="O1344" i="25"/>
  <c r="O1345" i="25"/>
  <c r="O1346" i="25"/>
  <c r="O1347" i="25"/>
  <c r="O1348" i="25"/>
  <c r="O1349" i="25"/>
  <c r="O1351" i="25"/>
  <c r="O1352" i="25"/>
  <c r="O1353" i="25"/>
  <c r="O1354" i="25"/>
  <c r="O1356" i="25"/>
  <c r="O1357" i="25"/>
  <c r="O1358" i="25"/>
  <c r="O1359" i="25"/>
  <c r="O1361" i="25"/>
  <c r="O1363" i="25"/>
  <c r="O1364" i="25"/>
  <c r="O1365" i="25"/>
  <c r="O1366" i="25"/>
  <c r="O1367" i="25"/>
  <c r="O1369" i="25"/>
  <c r="O1370" i="25"/>
  <c r="O1371" i="25"/>
  <c r="O1372" i="25"/>
  <c r="O1374" i="25"/>
  <c r="O1375" i="25"/>
  <c r="O1376" i="25"/>
  <c r="O1377" i="25"/>
  <c r="O1378" i="25"/>
  <c r="O1380" i="25"/>
  <c r="O1381" i="25"/>
  <c r="O1382" i="25"/>
  <c r="O1383" i="25"/>
  <c r="O1385" i="25"/>
  <c r="O1386" i="25"/>
  <c r="O1387" i="25"/>
  <c r="O1388" i="25"/>
  <c r="O1389" i="25"/>
  <c r="O1390" i="25"/>
  <c r="O1391" i="25"/>
  <c r="O1393" i="25"/>
  <c r="O1394" i="25"/>
  <c r="O1395" i="25"/>
  <c r="O1396" i="25"/>
  <c r="O1397" i="25"/>
  <c r="O1398" i="25"/>
  <c r="O1400" i="25"/>
  <c r="O1401" i="25"/>
  <c r="O1402" i="25"/>
  <c r="O1403" i="25"/>
  <c r="O1404" i="25"/>
  <c r="O1405" i="25"/>
  <c r="O1407" i="25"/>
  <c r="O1408" i="25"/>
  <c r="O1409" i="25"/>
  <c r="O1410" i="25"/>
  <c r="O1411" i="25"/>
  <c r="O1412" i="25"/>
  <c r="O1414" i="25"/>
  <c r="O1415" i="25"/>
  <c r="O1416" i="25"/>
  <c r="O1417" i="25"/>
  <c r="O1418" i="25"/>
  <c r="O1419" i="25"/>
  <c r="O1421" i="25"/>
  <c r="O1422" i="25"/>
  <c r="O1423" i="25"/>
  <c r="O1424" i="25"/>
  <c r="O1425" i="25"/>
  <c r="O1427" i="25"/>
  <c r="O1428" i="25"/>
  <c r="O1429" i="25"/>
  <c r="O1430" i="25"/>
  <c r="O1431" i="25"/>
  <c r="O1432" i="25"/>
  <c r="O1434" i="25"/>
  <c r="O1435" i="25"/>
  <c r="O1436" i="25"/>
  <c r="O1437" i="25"/>
  <c r="O1438" i="25"/>
  <c r="O1440" i="25"/>
  <c r="O1441" i="25"/>
  <c r="O1442" i="25"/>
  <c r="O1443" i="25"/>
  <c r="O1444" i="25"/>
  <c r="O1446" i="25"/>
  <c r="O1447" i="25"/>
  <c r="O1448" i="25"/>
  <c r="O1449" i="25"/>
  <c r="O1451" i="25"/>
  <c r="O1452" i="25"/>
  <c r="O1453" i="25"/>
  <c r="O1454" i="25"/>
  <c r="O1455" i="25"/>
  <c r="O1457" i="25"/>
  <c r="O1458" i="25"/>
  <c r="O1460" i="25"/>
  <c r="O1461" i="25"/>
  <c r="O1462" i="25"/>
  <c r="O1464" i="25"/>
  <c r="O1465" i="25"/>
  <c r="O1466" i="25"/>
  <c r="O1470" i="25"/>
  <c r="O1471" i="25"/>
  <c r="O1472" i="25"/>
  <c r="O1475" i="25"/>
  <c r="O1476" i="25"/>
  <c r="O1481" i="25"/>
  <c r="O1482" i="25"/>
  <c r="O1483" i="25"/>
  <c r="O1486" i="25"/>
  <c r="O1487" i="25"/>
  <c r="O1488" i="25"/>
  <c r="O1489" i="25"/>
  <c r="O1490" i="25"/>
  <c r="O1492" i="25"/>
  <c r="O1493" i="25"/>
  <c r="O1494" i="25"/>
  <c r="O1496" i="25"/>
  <c r="O1498" i="25"/>
  <c r="O1500" i="25"/>
  <c r="O1501" i="25"/>
  <c r="O1502" i="25"/>
  <c r="O1503" i="25"/>
  <c r="O1505" i="25"/>
  <c r="O1506" i="25"/>
  <c r="O1508" i="25"/>
  <c r="O1509" i="25"/>
  <c r="O1511" i="25"/>
  <c r="O1513" i="25"/>
  <c r="O1514" i="25"/>
  <c r="O1516" i="25"/>
  <c r="O1518" i="25"/>
  <c r="O1520" i="25"/>
  <c r="O1522" i="25"/>
  <c r="O1523" i="25"/>
  <c r="O1524" i="25"/>
  <c r="O1525" i="25"/>
  <c r="O1526" i="25"/>
  <c r="O1530" i="25"/>
  <c r="O1533" i="25"/>
  <c r="O1534" i="25"/>
  <c r="O1536" i="25"/>
  <c r="O1537" i="25"/>
  <c r="O1538" i="25"/>
  <c r="O1539" i="25"/>
  <c r="O1540" i="25"/>
  <c r="O1541" i="25"/>
  <c r="O1542" i="25"/>
  <c r="O1543" i="25"/>
  <c r="O1544" i="25"/>
  <c r="O1545" i="25"/>
  <c r="O1546" i="25"/>
  <c r="O1547" i="25"/>
  <c r="O1548" i="25"/>
  <c r="O1549" i="25"/>
  <c r="O1551" i="25"/>
  <c r="O1552" i="25"/>
  <c r="O1553" i="25"/>
  <c r="O1554" i="25"/>
  <c r="O1555" i="25"/>
  <c r="O1556" i="25"/>
  <c r="O1557" i="25"/>
  <c r="O1558" i="25"/>
  <c r="O1559" i="25"/>
  <c r="O1560" i="25"/>
  <c r="O1561" i="25"/>
  <c r="O1562" i="25"/>
  <c r="O1563" i="25"/>
  <c r="O1564" i="25"/>
  <c r="O1565" i="25"/>
  <c r="O1566" i="25"/>
  <c r="O1567" i="25"/>
  <c r="O1568" i="25"/>
  <c r="O1569" i="25"/>
  <c r="O1570" i="25"/>
  <c r="O1571" i="25"/>
  <c r="O1572" i="25"/>
  <c r="O1573" i="25"/>
  <c r="O1574" i="25"/>
  <c r="O1575" i="25"/>
  <c r="O1576" i="25"/>
  <c r="O1577" i="25"/>
  <c r="O1578" i="25"/>
  <c r="O1579" i="25"/>
  <c r="O1580" i="25"/>
  <c r="O1581" i="25"/>
  <c r="O1582" i="25"/>
  <c r="O1583" i="25"/>
  <c r="O1584" i="25"/>
  <c r="O1585" i="25"/>
  <c r="O1586" i="25"/>
  <c r="O1587" i="25"/>
  <c r="O1588" i="25"/>
  <c r="O1589" i="25"/>
  <c r="O1590" i="25"/>
  <c r="O1591" i="25"/>
  <c r="O1592" i="25"/>
  <c r="O1593" i="25"/>
  <c r="O1594" i="25"/>
  <c r="O1595" i="25"/>
  <c r="O1596" i="25"/>
  <c r="O1597" i="25"/>
  <c r="O1598" i="25"/>
  <c r="O1599" i="25"/>
  <c r="O1600" i="25"/>
  <c r="O1601" i="25"/>
  <c r="O1602" i="25"/>
  <c r="O1603" i="25"/>
  <c r="O1604" i="25"/>
  <c r="O1605" i="25"/>
  <c r="O1606" i="25"/>
  <c r="O1607" i="25"/>
  <c r="O1608" i="25"/>
  <c r="O1609" i="25"/>
  <c r="O1610" i="25"/>
  <c r="O1611" i="25"/>
  <c r="O1612" i="25"/>
  <c r="O1613" i="25"/>
  <c r="O1614" i="25"/>
  <c r="O1615" i="25"/>
  <c r="O1616" i="25"/>
  <c r="O1617" i="25"/>
  <c r="O1618" i="25"/>
  <c r="O1619" i="25"/>
  <c r="O1620" i="25"/>
  <c r="O1621" i="25"/>
  <c r="O1622" i="25"/>
  <c r="O1623" i="25"/>
  <c r="O1624" i="25"/>
  <c r="O1625" i="25"/>
  <c r="O1626" i="25"/>
  <c r="O1627" i="25"/>
  <c r="O1628" i="25"/>
  <c r="O1629" i="25"/>
  <c r="O1630" i="25"/>
  <c r="O1631" i="25"/>
  <c r="O1632" i="25"/>
  <c r="O1633" i="25"/>
  <c r="O1634" i="25"/>
  <c r="O1635" i="25"/>
  <c r="O1636" i="25"/>
  <c r="O1637" i="25"/>
  <c r="O1638" i="25"/>
  <c r="O1639" i="25"/>
  <c r="O1640" i="25"/>
  <c r="O1641" i="25"/>
  <c r="O1642" i="25"/>
  <c r="O1643" i="25"/>
  <c r="O1644" i="25"/>
  <c r="O1645" i="25"/>
  <c r="O1646" i="25"/>
  <c r="O1647" i="25"/>
  <c r="O1648" i="25"/>
  <c r="O1649" i="25"/>
  <c r="O1650" i="25"/>
  <c r="O1651" i="25"/>
  <c r="O1652" i="25"/>
  <c r="O1653" i="25"/>
  <c r="O1654" i="25"/>
  <c r="O1655" i="25"/>
  <c r="O1656" i="25"/>
  <c r="O1657" i="25"/>
  <c r="O1658" i="25"/>
  <c r="O1659" i="25"/>
  <c r="O1660" i="25"/>
  <c r="O1661" i="25"/>
  <c r="O1662" i="25"/>
  <c r="O1663" i="25"/>
  <c r="O1664" i="25"/>
  <c r="O1665" i="25"/>
  <c r="O1666" i="25"/>
  <c r="O1667" i="25"/>
  <c r="O1668" i="25"/>
  <c r="O1669" i="25"/>
  <c r="O1670" i="25"/>
  <c r="O1671" i="25"/>
  <c r="O1672" i="25"/>
  <c r="O1673" i="25"/>
  <c r="O1674" i="25"/>
  <c r="O1675" i="25"/>
  <c r="O1676" i="25"/>
  <c r="O1677" i="25"/>
  <c r="O1678" i="25"/>
  <c r="O1679" i="25"/>
  <c r="O1680" i="25"/>
  <c r="O1681" i="25"/>
  <c r="O1682" i="25"/>
  <c r="O1683" i="25"/>
  <c r="O1684" i="25"/>
  <c r="O1685" i="25"/>
  <c r="O1686" i="25"/>
  <c r="O1687" i="25"/>
  <c r="O1688" i="25"/>
  <c r="O1689" i="25"/>
  <c r="O1690" i="25"/>
  <c r="O1691" i="25"/>
  <c r="O1692" i="25"/>
  <c r="O1693" i="25"/>
  <c r="O1694" i="25"/>
  <c r="O1695" i="25"/>
  <c r="O1696" i="25"/>
  <c r="O1697" i="25"/>
  <c r="O1698" i="25"/>
  <c r="O1699" i="25"/>
  <c r="O1700" i="25"/>
  <c r="O1701" i="25"/>
  <c r="O1702" i="25"/>
  <c r="O1703" i="25"/>
  <c r="O1704" i="25"/>
  <c r="O1706" i="25"/>
  <c r="O1707" i="25"/>
  <c r="O1708" i="25"/>
  <c r="O1709" i="25"/>
  <c r="O1710" i="25"/>
  <c r="O1711" i="25"/>
  <c r="O1712" i="25"/>
  <c r="O1713" i="25"/>
  <c r="O1714" i="25"/>
  <c r="O1715" i="25"/>
  <c r="O1716" i="25"/>
  <c r="O1717" i="25"/>
  <c r="O1718" i="25"/>
  <c r="O1719" i="25"/>
  <c r="O1720" i="25"/>
  <c r="O1721" i="25"/>
  <c r="O1722" i="25"/>
  <c r="O1723" i="25"/>
  <c r="O1724" i="25"/>
  <c r="O1725" i="25"/>
  <c r="O1726" i="25"/>
  <c r="O1727" i="25"/>
  <c r="O1728" i="25"/>
  <c r="O1729" i="25"/>
  <c r="O1730" i="25"/>
  <c r="O1731" i="25"/>
  <c r="O1733" i="25"/>
  <c r="O1734" i="25"/>
  <c r="O1735" i="25"/>
  <c r="O1736" i="25"/>
  <c r="O1737" i="25"/>
  <c r="O1738" i="25"/>
  <c r="O1739" i="25"/>
  <c r="O1740" i="25"/>
  <c r="O1742" i="25"/>
  <c r="O1743" i="25"/>
  <c r="O1744" i="25"/>
  <c r="O1745" i="25"/>
  <c r="O1746" i="25"/>
  <c r="O1747" i="25"/>
  <c r="O1748" i="25"/>
  <c r="O1749" i="25"/>
  <c r="O1751" i="25"/>
  <c r="O1752" i="25"/>
  <c r="O1753" i="25"/>
  <c r="O1754" i="25"/>
  <c r="O1755" i="25"/>
  <c r="O1756" i="25"/>
  <c r="O1757" i="25"/>
  <c r="H1717" i="25"/>
  <c r="H1718" i="25"/>
  <c r="H1719" i="25"/>
  <c r="H1720" i="25"/>
  <c r="H1721" i="25"/>
  <c r="G1728" i="25"/>
  <c r="H1728" i="25" s="1"/>
  <c r="G1727" i="25"/>
  <c r="H1727" i="25" s="1"/>
  <c r="H1726" i="25"/>
  <c r="G1724" i="25"/>
  <c r="H1724" i="25" s="1"/>
  <c r="G1723" i="25"/>
  <c r="H1723" i="25" s="1"/>
  <c r="G1722" i="25"/>
  <c r="H1722" i="25" s="1"/>
  <c r="G1716" i="25"/>
  <c r="H1716" i="25" s="1"/>
  <c r="G1715" i="25"/>
  <c r="H1715" i="25" s="1"/>
  <c r="G1714" i="25"/>
  <c r="H1714" i="25" s="1"/>
  <c r="G1713" i="25"/>
  <c r="H1713" i="25" s="1"/>
  <c r="H1712" i="25"/>
  <c r="G1709" i="25"/>
  <c r="H1709" i="25" s="1"/>
  <c r="G1708" i="25"/>
  <c r="H1708" i="25" s="1"/>
  <c r="H1707" i="25"/>
  <c r="G129" i="25"/>
  <c r="D1701" i="25"/>
  <c r="H1701" i="25" s="1"/>
  <c r="H1702" i="25"/>
  <c r="H1700" i="25"/>
  <c r="H1697" i="25"/>
  <c r="D1699" i="25"/>
  <c r="H1699" i="25" s="1"/>
  <c r="D1698" i="25"/>
  <c r="H1698" i="25" s="1"/>
  <c r="H1696" i="25"/>
  <c r="H1694" i="25"/>
  <c r="I1695" i="25" s="1"/>
  <c r="H1693" i="25"/>
  <c r="H1691" i="25"/>
  <c r="I1692" i="25" s="1"/>
  <c r="H1690" i="25"/>
  <c r="H1688" i="25"/>
  <c r="H1687" i="25"/>
  <c r="H1686" i="25"/>
  <c r="H1685" i="25"/>
  <c r="E1684" i="25"/>
  <c r="H1684" i="25" s="1"/>
  <c r="H1683" i="25"/>
  <c r="H1682" i="25"/>
  <c r="H1681" i="25"/>
  <c r="H1680" i="25"/>
  <c r="H1679" i="25"/>
  <c r="H1678" i="25"/>
  <c r="H1676" i="25"/>
  <c r="H1675" i="25"/>
  <c r="H1674" i="25"/>
  <c r="H1673" i="25"/>
  <c r="H1672" i="25"/>
  <c r="H1671" i="25"/>
  <c r="H1670" i="25"/>
  <c r="I1669" i="25"/>
  <c r="H1668" i="25"/>
  <c r="H1667" i="25"/>
  <c r="H1666" i="25"/>
  <c r="H1665" i="25"/>
  <c r="H1664" i="25"/>
  <c r="H1663" i="25"/>
  <c r="H1662" i="25"/>
  <c r="H1661" i="25"/>
  <c r="I1661" i="25" s="1"/>
  <c r="H1659" i="25"/>
  <c r="H1658" i="25"/>
  <c r="H1657" i="25"/>
  <c r="H1656" i="25"/>
  <c r="H1655" i="25"/>
  <c r="H1654" i="25"/>
  <c r="H1653" i="25"/>
  <c r="H1652" i="25"/>
  <c r="H1646" i="25"/>
  <c r="H1645" i="25"/>
  <c r="H1644" i="25"/>
  <c r="H1643" i="25"/>
  <c r="H1642" i="25"/>
  <c r="H1641" i="25"/>
  <c r="H1639" i="25"/>
  <c r="H1638" i="25"/>
  <c r="H1637" i="25"/>
  <c r="H1635" i="25"/>
  <c r="H1634" i="25"/>
  <c r="H1633" i="25"/>
  <c r="H1632" i="25"/>
  <c r="H1631" i="25"/>
  <c r="H1630" i="25"/>
  <c r="H1629" i="25"/>
  <c r="H1628" i="25"/>
  <c r="H1627" i="25"/>
  <c r="H1626" i="25"/>
  <c r="H1625" i="25"/>
  <c r="H1624" i="25"/>
  <c r="H1623" i="25"/>
  <c r="H1622" i="25"/>
  <c r="H1621" i="25"/>
  <c r="H1620" i="25"/>
  <c r="H1619" i="25"/>
  <c r="H1618" i="25"/>
  <c r="H1616" i="25"/>
  <c r="H1615" i="25"/>
  <c r="H1614" i="25"/>
  <c r="H1613" i="25"/>
  <c r="H1612" i="25"/>
  <c r="H1611" i="25"/>
  <c r="H1610" i="25"/>
  <c r="H1609" i="25"/>
  <c r="H1608" i="25"/>
  <c r="H1607" i="25"/>
  <c r="H1606" i="25"/>
  <c r="H1603" i="25"/>
  <c r="H1602" i="25"/>
  <c r="H1601" i="25"/>
  <c r="H1599" i="25"/>
  <c r="H1598" i="25"/>
  <c r="H1597" i="25"/>
  <c r="H1596" i="25"/>
  <c r="H1594" i="25"/>
  <c r="H1593" i="25"/>
  <c r="H1592" i="25"/>
  <c r="G1591" i="25"/>
  <c r="H1591" i="25" s="1"/>
  <c r="G1590" i="25"/>
  <c r="H1590" i="25" s="1"/>
  <c r="H1588" i="25"/>
  <c r="H1587" i="25"/>
  <c r="H1586" i="25"/>
  <c r="H1585" i="25"/>
  <c r="H1584" i="25"/>
  <c r="H1582" i="25"/>
  <c r="H1581" i="25"/>
  <c r="H1580" i="25"/>
  <c r="H1579" i="25"/>
  <c r="H1578" i="25"/>
  <c r="H1577" i="25"/>
  <c r="I1576" i="25"/>
  <c r="H1574" i="25"/>
  <c r="E1573" i="25"/>
  <c r="H1573" i="25" s="1"/>
  <c r="H1572" i="25"/>
  <c r="H1571" i="25"/>
  <c r="H1570" i="25"/>
  <c r="H1569" i="25"/>
  <c r="H1568" i="25"/>
  <c r="D1567" i="25"/>
  <c r="H1567" i="25" s="1"/>
  <c r="D1566" i="25"/>
  <c r="H1566" i="25" s="1"/>
  <c r="H1565" i="25"/>
  <c r="I1565" i="25" s="1"/>
  <c r="H1562" i="25"/>
  <c r="E1561" i="25"/>
  <c r="H1561" i="25" s="1"/>
  <c r="H1560" i="25"/>
  <c r="D1559" i="25"/>
  <c r="H1559" i="25" s="1"/>
  <c r="H1558" i="25"/>
  <c r="H1557" i="25"/>
  <c r="H1556" i="25"/>
  <c r="H1555" i="25"/>
  <c r="D1554" i="25"/>
  <c r="H1554" i="25" s="1"/>
  <c r="D1553" i="25"/>
  <c r="H1553" i="25" s="1"/>
  <c r="G1198" i="24"/>
  <c r="G1197" i="24"/>
  <c r="G1542" i="25"/>
  <c r="H1542" i="25" s="1"/>
  <c r="G1541" i="25"/>
  <c r="H1541" i="25" s="1"/>
  <c r="G1540" i="25"/>
  <c r="H1540" i="25" s="1"/>
  <c r="G1539" i="25"/>
  <c r="H1539" i="25" s="1"/>
  <c r="G1548" i="25"/>
  <c r="H1548" i="25" s="1"/>
  <c r="G1547" i="25"/>
  <c r="H1547" i="25" s="1"/>
  <c r="H1523" i="25"/>
  <c r="I1523" i="25" s="1"/>
  <c r="H1520" i="25"/>
  <c r="I1520" i="25" s="1"/>
  <c r="J1519" i="25" s="1"/>
  <c r="H1514" i="25"/>
  <c r="I1514" i="25" s="1"/>
  <c r="H1506" i="25"/>
  <c r="I1506" i="25" s="1"/>
  <c r="H1518" i="25"/>
  <c r="I1518" i="25" s="1"/>
  <c r="M1517" i="25"/>
  <c r="H1517" i="25"/>
  <c r="I1517" i="25" s="1"/>
  <c r="H1509" i="25"/>
  <c r="I1509" i="25" s="1"/>
  <c r="H1501" i="25"/>
  <c r="I1501" i="25" s="1"/>
  <c r="H1493" i="25"/>
  <c r="I1493" i="25" s="1"/>
  <c r="E1488" i="25"/>
  <c r="H1488" i="25" s="1"/>
  <c r="I1488" i="25" s="1"/>
  <c r="E1489" i="25"/>
  <c r="H1489" i="25" s="1"/>
  <c r="I1489" i="25" s="1"/>
  <c r="E1490" i="25"/>
  <c r="H1490" i="25" s="1"/>
  <c r="I1490" i="25" s="1"/>
  <c r="H1482" i="25"/>
  <c r="I1482" i="25" s="1"/>
  <c r="D1479" i="25"/>
  <c r="H1479" i="25" s="1"/>
  <c r="I1479" i="25" s="1"/>
  <c r="J1479" i="25" s="1"/>
  <c r="D1477" i="25"/>
  <c r="H1477" i="25" s="1"/>
  <c r="I1477" i="25" s="1"/>
  <c r="J1477" i="25" s="1"/>
  <c r="H1471" i="25"/>
  <c r="I1471" i="25" s="1"/>
  <c r="H1472" i="25"/>
  <c r="I1472" i="25" s="1"/>
  <c r="H1458" i="25"/>
  <c r="I1458" i="25" s="1"/>
  <c r="H1442" i="25"/>
  <c r="I1442" i="25" s="1"/>
  <c r="H1436" i="25"/>
  <c r="I1436" i="25" s="1"/>
  <c r="H1416" i="25"/>
  <c r="I1416" i="25" s="1"/>
  <c r="H1409" i="25"/>
  <c r="I1409" i="25" s="1"/>
  <c r="H1395" i="25"/>
  <c r="I1395" i="25" s="1"/>
  <c r="D1393" i="25"/>
  <c r="H1393" i="25" s="1"/>
  <c r="I1393" i="25" s="1"/>
  <c r="D1328" i="25"/>
  <c r="H1328" i="25" s="1"/>
  <c r="I1328" i="25" s="1"/>
  <c r="J1328" i="25" s="1"/>
  <c r="H1402" i="25"/>
  <c r="I1402" i="25" s="1"/>
  <c r="H1404" i="25"/>
  <c r="I1404" i="25" s="1"/>
  <c r="H1403" i="25"/>
  <c r="I1403" i="25" s="1"/>
  <c r="H1401" i="25"/>
  <c r="I1401" i="25" s="1"/>
  <c r="H1400" i="25"/>
  <c r="I1400" i="25" s="1"/>
  <c r="M1399" i="25"/>
  <c r="H1399" i="25"/>
  <c r="I1399" i="25" s="1"/>
  <c r="H1387" i="25"/>
  <c r="I1387" i="25" s="1"/>
  <c r="H1376" i="25"/>
  <c r="I1376" i="25" s="1"/>
  <c r="H1365" i="25"/>
  <c r="I1365" i="25" s="1"/>
  <c r="H1358" i="25"/>
  <c r="I1358" i="25" s="1"/>
  <c r="H1352" i="25"/>
  <c r="I1352" i="25" s="1"/>
  <c r="H1346" i="25"/>
  <c r="H1334" i="25"/>
  <c r="I1334" i="25" s="1"/>
  <c r="H1296" i="25"/>
  <c r="I1297" i="25" s="1"/>
  <c r="H1295" i="25"/>
  <c r="I1296" i="25" s="1"/>
  <c r="H1294" i="25"/>
  <c r="I1295" i="25" s="1"/>
  <c r="H1293" i="25"/>
  <c r="I1294" i="25" s="1"/>
  <c r="H1292" i="25"/>
  <c r="H1290" i="25"/>
  <c r="H1289" i="25"/>
  <c r="I1291" i="25" s="1"/>
  <c r="H1288" i="25"/>
  <c r="H1286" i="25"/>
  <c r="H1285" i="25"/>
  <c r="H1284" i="25"/>
  <c r="D1283" i="25"/>
  <c r="H1283" i="25" s="1"/>
  <c r="I1283" i="25" s="1"/>
  <c r="H1279" i="25"/>
  <c r="I1280" i="25" s="1"/>
  <c r="H1278" i="25"/>
  <c r="I1279" i="25" s="1"/>
  <c r="H1273" i="25"/>
  <c r="I1274" i="25" s="1"/>
  <c r="H1272" i="25"/>
  <c r="H1256" i="25"/>
  <c r="E1255" i="25"/>
  <c r="H1255" i="25" s="1"/>
  <c r="H1254" i="25"/>
  <c r="D1234" i="25"/>
  <c r="H1234" i="25" s="1"/>
  <c r="I1234" i="25" s="1"/>
  <c r="H1241" i="25"/>
  <c r="H1240" i="25"/>
  <c r="I1242" i="25" s="1"/>
  <c r="H1239" i="25"/>
  <c r="H1212" i="25"/>
  <c r="I1213" i="25" s="1"/>
  <c r="H1211" i="25"/>
  <c r="H972" i="24"/>
  <c r="I973" i="24" s="1"/>
  <c r="H971" i="24"/>
  <c r="I972" i="24" s="1"/>
  <c r="H1197" i="25"/>
  <c r="H1196" i="25"/>
  <c r="H1195" i="25"/>
  <c r="E1179" i="25"/>
  <c r="H1179" i="25" s="1"/>
  <c r="E1072" i="25"/>
  <c r="H1072" i="25" s="1"/>
  <c r="I1073" i="25" s="1"/>
  <c r="H1071" i="25"/>
  <c r="E1075" i="25"/>
  <c r="H1075" i="25" s="1"/>
  <c r="I1076" i="25" s="1"/>
  <c r="H1074" i="25"/>
  <c r="E1069" i="25"/>
  <c r="H1069" i="25" s="1"/>
  <c r="E1157" i="25"/>
  <c r="H1157" i="25" s="1"/>
  <c r="E1153" i="25"/>
  <c r="H1153" i="25" s="1"/>
  <c r="E1149" i="25"/>
  <c r="H1149" i="25" s="1"/>
  <c r="E1148" i="25"/>
  <c r="H1148" i="25" s="1"/>
  <c r="E1145" i="25"/>
  <c r="H1145" i="25" s="1"/>
  <c r="E1144" i="25"/>
  <c r="H1144" i="25" s="1"/>
  <c r="E1140" i="25"/>
  <c r="H1140" i="25" s="1"/>
  <c r="H1159" i="25"/>
  <c r="H1158" i="25"/>
  <c r="H1155" i="25"/>
  <c r="H1154" i="25"/>
  <c r="H1152" i="25"/>
  <c r="H1151" i="25"/>
  <c r="H1150" i="25"/>
  <c r="H1147" i="25"/>
  <c r="H1146" i="25"/>
  <c r="H1143" i="25"/>
  <c r="H1141" i="25"/>
  <c r="H1096" i="25"/>
  <c r="H1097" i="25"/>
  <c r="H1098" i="25"/>
  <c r="H1099" i="25"/>
  <c r="H1100" i="25"/>
  <c r="H1101" i="25"/>
  <c r="H1102" i="25"/>
  <c r="H1103" i="25"/>
  <c r="H1104" i="25"/>
  <c r="H1105" i="25"/>
  <c r="H1106" i="25"/>
  <c r="H1107" i="25"/>
  <c r="H1108" i="25"/>
  <c r="H1109" i="25"/>
  <c r="H1110" i="25"/>
  <c r="H1095" i="25"/>
  <c r="H1094" i="25"/>
  <c r="H1052" i="25"/>
  <c r="D1049" i="25"/>
  <c r="H1049" i="25" s="1"/>
  <c r="H1028" i="25"/>
  <c r="H1027" i="25"/>
  <c r="H1026" i="25"/>
  <c r="H1024" i="25"/>
  <c r="H1023" i="25"/>
  <c r="H1022" i="25"/>
  <c r="H1021" i="25"/>
  <c r="H1020" i="25"/>
  <c r="H1019" i="25"/>
  <c r="H1018" i="25"/>
  <c r="H1017" i="25"/>
  <c r="H1016" i="25"/>
  <c r="H1015" i="25"/>
  <c r="H1014" i="25"/>
  <c r="H1013" i="25"/>
  <c r="H1012" i="25"/>
  <c r="H1011" i="25"/>
  <c r="H1009" i="25"/>
  <c r="H1008" i="25"/>
  <c r="H1007" i="25"/>
  <c r="H1006" i="25"/>
  <c r="H1005" i="25"/>
  <c r="H1004" i="25"/>
  <c r="H1003" i="25"/>
  <c r="H1002" i="25"/>
  <c r="H1001" i="25"/>
  <c r="H1000" i="25"/>
  <c r="H999" i="25"/>
  <c r="H993" i="25"/>
  <c r="H992" i="25"/>
  <c r="H956" i="25"/>
  <c r="H955" i="25"/>
  <c r="H954" i="25"/>
  <c r="H953" i="25"/>
  <c r="E952" i="25"/>
  <c r="H952" i="25" s="1"/>
  <c r="H951" i="25"/>
  <c r="H950" i="25"/>
  <c r="H949" i="25"/>
  <c r="H948" i="25"/>
  <c r="H947" i="25"/>
  <c r="H946" i="25"/>
  <c r="H923" i="25"/>
  <c r="H916" i="25"/>
  <c r="H922" i="25"/>
  <c r="H919" i="25"/>
  <c r="H903" i="25"/>
  <c r="H902" i="25"/>
  <c r="H901" i="25"/>
  <c r="E880" i="25"/>
  <c r="H880" i="25" s="1"/>
  <c r="E879" i="25"/>
  <c r="H879" i="25" s="1"/>
  <c r="E876" i="25"/>
  <c r="H876" i="25" s="1"/>
  <c r="E875" i="25"/>
  <c r="H875" i="25" s="1"/>
  <c r="E871" i="25"/>
  <c r="H871" i="25" s="1"/>
  <c r="E872" i="25"/>
  <c r="H872" i="25" s="1"/>
  <c r="E870" i="25"/>
  <c r="H870" i="25" s="1"/>
  <c r="E869" i="25"/>
  <c r="H869" i="25" s="1"/>
  <c r="H890" i="25"/>
  <c r="H889" i="25"/>
  <c r="H888" i="25"/>
  <c r="H886" i="25"/>
  <c r="H885" i="25"/>
  <c r="H884" i="25"/>
  <c r="H883" i="25"/>
  <c r="H882" i="25"/>
  <c r="H881" i="25"/>
  <c r="H878" i="25"/>
  <c r="H877" i="25"/>
  <c r="H874" i="25"/>
  <c r="F852" i="25"/>
  <c r="F851" i="25"/>
  <c r="H851" i="25" s="1"/>
  <c r="F850" i="25"/>
  <c r="E850" i="25"/>
  <c r="E852" i="25" s="1"/>
  <c r="H859" i="25"/>
  <c r="H858" i="25"/>
  <c r="H857" i="25"/>
  <c r="H839" i="25"/>
  <c r="H838" i="25"/>
  <c r="H837" i="25"/>
  <c r="H827" i="25"/>
  <c r="H826" i="25"/>
  <c r="H825" i="25"/>
  <c r="H807" i="25"/>
  <c r="E806" i="25"/>
  <c r="H806" i="25" s="1"/>
  <c r="H797" i="25"/>
  <c r="E798" i="25"/>
  <c r="H798" i="25" s="1"/>
  <c r="E796" i="25"/>
  <c r="H796" i="25" s="1"/>
  <c r="H808" i="25"/>
  <c r="H805" i="25"/>
  <c r="H804" i="25"/>
  <c r="E780" i="25"/>
  <c r="H780" i="25" s="1"/>
  <c r="H784" i="25"/>
  <c r="H783" i="25"/>
  <c r="H782" i="25"/>
  <c r="H781" i="25"/>
  <c r="H779" i="25"/>
  <c r="H778" i="25"/>
  <c r="H777" i="25"/>
  <c r="H776" i="25"/>
  <c r="H775" i="25"/>
  <c r="H774" i="25"/>
  <c r="E108" i="25"/>
  <c r="E112" i="25"/>
  <c r="G112" i="25"/>
  <c r="H111" i="25"/>
  <c r="I113" i="25" s="1"/>
  <c r="G120" i="25"/>
  <c r="E120" i="25"/>
  <c r="G108" i="25"/>
  <c r="H104" i="25"/>
  <c r="G103" i="25"/>
  <c r="E103" i="25"/>
  <c r="H764" i="25"/>
  <c r="H763" i="25"/>
  <c r="H762" i="25"/>
  <c r="H761" i="25"/>
  <c r="H760" i="25"/>
  <c r="H759" i="25"/>
  <c r="H758" i="25"/>
  <c r="H755" i="25"/>
  <c r="H751" i="25"/>
  <c r="H552" i="25"/>
  <c r="I553" i="25" s="1"/>
  <c r="H731" i="25"/>
  <c r="H730" i="25"/>
  <c r="H729" i="25"/>
  <c r="H727" i="25"/>
  <c r="H726" i="25"/>
  <c r="G719" i="25"/>
  <c r="H719" i="25" s="1"/>
  <c r="G720" i="25"/>
  <c r="H720" i="25" s="1"/>
  <c r="G718" i="25"/>
  <c r="H718" i="25" s="1"/>
  <c r="H708" i="25"/>
  <c r="H707" i="25"/>
  <c r="H709" i="25"/>
  <c r="H710" i="25"/>
  <c r="G706" i="25"/>
  <c r="H706" i="25" s="1"/>
  <c r="G705" i="25"/>
  <c r="H705" i="25" s="1"/>
  <c r="H703" i="25"/>
  <c r="G698" i="25"/>
  <c r="H698" i="25" s="1"/>
  <c r="G697" i="25"/>
  <c r="H697" i="25" s="1"/>
  <c r="H725" i="25"/>
  <c r="H724" i="25"/>
  <c r="H723" i="25"/>
  <c r="H722" i="25"/>
  <c r="H721" i="25"/>
  <c r="H717" i="25"/>
  <c r="H716" i="25"/>
  <c r="H715" i="25"/>
  <c r="H714" i="25"/>
  <c r="H713" i="25"/>
  <c r="H712" i="25"/>
  <c r="H711" i="25"/>
  <c r="H702" i="25"/>
  <c r="H701" i="25"/>
  <c r="H700" i="25"/>
  <c r="H699" i="25"/>
  <c r="H696" i="25"/>
  <c r="H695" i="25"/>
  <c r="H694" i="25"/>
  <c r="H693" i="25"/>
  <c r="H692" i="25"/>
  <c r="H691" i="25"/>
  <c r="H686" i="25"/>
  <c r="H683" i="25"/>
  <c r="H684" i="25"/>
  <c r="H656" i="25"/>
  <c r="E655" i="25"/>
  <c r="H655" i="25" s="1"/>
  <c r="H654" i="25"/>
  <c r="H653" i="25"/>
  <c r="H652" i="25"/>
  <c r="H651" i="25"/>
  <c r="H650" i="25"/>
  <c r="D649" i="25"/>
  <c r="H649" i="25" s="1"/>
  <c r="D648" i="25"/>
  <c r="H648" i="25" s="1"/>
  <c r="D641" i="25"/>
  <c r="H641" i="25" s="1"/>
  <c r="E643" i="25"/>
  <c r="H643" i="25" s="1"/>
  <c r="D636" i="25"/>
  <c r="H636" i="25" s="1"/>
  <c r="D635" i="25"/>
  <c r="H635" i="25" s="1"/>
  <c r="H612" i="25"/>
  <c r="H611" i="25"/>
  <c r="H610" i="25"/>
  <c r="H609" i="25"/>
  <c r="G608" i="25"/>
  <c r="H608" i="25" s="1"/>
  <c r="G607" i="25"/>
  <c r="H607" i="25" s="1"/>
  <c r="H606" i="25"/>
  <c r="D594" i="25"/>
  <c r="H594" i="25" s="1"/>
  <c r="H591" i="25"/>
  <c r="H570" i="25"/>
  <c r="H569" i="25"/>
  <c r="H568" i="25"/>
  <c r="H567" i="25"/>
  <c r="H566" i="25"/>
  <c r="G565" i="25"/>
  <c r="H565" i="25" s="1"/>
  <c r="H564" i="25"/>
  <c r="H563" i="25"/>
  <c r="H562" i="25"/>
  <c r="H561" i="25"/>
  <c r="H560" i="25"/>
  <c r="H378" i="24"/>
  <c r="H377" i="24"/>
  <c r="H376" i="24"/>
  <c r="H375" i="24"/>
  <c r="H374" i="24"/>
  <c r="E373" i="24"/>
  <c r="H373" i="24" s="1"/>
  <c r="G372" i="24"/>
  <c r="H372" i="24" s="1"/>
  <c r="G371" i="24"/>
  <c r="H371" i="24" s="1"/>
  <c r="G370" i="24"/>
  <c r="E370" i="24"/>
  <c r="G369" i="24"/>
  <c r="E369" i="24"/>
  <c r="H368" i="24"/>
  <c r="I368" i="24" s="1"/>
  <c r="H366" i="24"/>
  <c r="H365" i="24"/>
  <c r="H364" i="24"/>
  <c r="G363" i="24"/>
  <c r="H363" i="24" s="1"/>
  <c r="G362" i="24"/>
  <c r="H362" i="24" s="1"/>
  <c r="G361" i="24"/>
  <c r="E361" i="24"/>
  <c r="G360" i="24"/>
  <c r="E360" i="24"/>
  <c r="H531" i="25"/>
  <c r="H530" i="25"/>
  <c r="G529" i="25"/>
  <c r="H529" i="25" s="1"/>
  <c r="G528" i="25"/>
  <c r="H528" i="25" s="1"/>
  <c r="G527" i="25"/>
  <c r="H527" i="25" s="1"/>
  <c r="H526" i="25"/>
  <c r="H525" i="25"/>
  <c r="G524" i="25"/>
  <c r="H524" i="25" s="1"/>
  <c r="G523" i="25"/>
  <c r="H523" i="25" s="1"/>
  <c r="G522" i="25"/>
  <c r="H522" i="25" s="1"/>
  <c r="H521" i="25"/>
  <c r="H520" i="25"/>
  <c r="H519" i="25"/>
  <c r="G518" i="25"/>
  <c r="H518" i="25" s="1"/>
  <c r="G517" i="25"/>
  <c r="H517" i="25" s="1"/>
  <c r="G516" i="25"/>
  <c r="E516" i="25"/>
  <c r="H515" i="25"/>
  <c r="H514" i="25"/>
  <c r="H513" i="25"/>
  <c r="H512" i="25"/>
  <c r="G511" i="25"/>
  <c r="H511" i="25" s="1"/>
  <c r="G510" i="25"/>
  <c r="E510" i="25"/>
  <c r="H509" i="25"/>
  <c r="H508" i="25"/>
  <c r="G507" i="25"/>
  <c r="H507" i="25" s="1"/>
  <c r="G506" i="25"/>
  <c r="H506" i="25" s="1"/>
  <c r="H505" i="25"/>
  <c r="H504" i="25"/>
  <c r="H503" i="25"/>
  <c r="G502" i="25"/>
  <c r="H502" i="25" s="1"/>
  <c r="H501" i="25"/>
  <c r="H500" i="25"/>
  <c r="H499" i="25"/>
  <c r="G498" i="25"/>
  <c r="H498" i="25" s="1"/>
  <c r="G497" i="25"/>
  <c r="H497" i="25" s="1"/>
  <c r="H496" i="25"/>
  <c r="H494" i="25"/>
  <c r="H493" i="25"/>
  <c r="H492" i="25"/>
  <c r="H491" i="25"/>
  <c r="H490" i="25"/>
  <c r="H489" i="25"/>
  <c r="G488" i="25"/>
  <c r="H488" i="25" s="1"/>
  <c r="G487" i="25"/>
  <c r="H487" i="25" s="1"/>
  <c r="H486" i="25"/>
  <c r="H485" i="25"/>
  <c r="H484" i="25"/>
  <c r="G483" i="25"/>
  <c r="H483" i="25" s="1"/>
  <c r="G482" i="25"/>
  <c r="H482" i="25" s="1"/>
  <c r="H481" i="25"/>
  <c r="H480" i="25"/>
  <c r="G479" i="25"/>
  <c r="H479" i="25" s="1"/>
  <c r="H477" i="25"/>
  <c r="H476" i="25"/>
  <c r="H475" i="25"/>
  <c r="G474" i="25"/>
  <c r="H474" i="25" s="1"/>
  <c r="G473" i="25"/>
  <c r="E473" i="25"/>
  <c r="H471" i="25"/>
  <c r="H470" i="25"/>
  <c r="H469" i="25"/>
  <c r="G468" i="25"/>
  <c r="H468" i="25" s="1"/>
  <c r="G467" i="25"/>
  <c r="H467" i="25" s="1"/>
  <c r="H466" i="25"/>
  <c r="H465" i="25"/>
  <c r="H464" i="25"/>
  <c r="G463" i="25"/>
  <c r="H463" i="25" s="1"/>
  <c r="G462" i="25"/>
  <c r="H462" i="25" s="1"/>
  <c r="H461" i="25"/>
  <c r="I460" i="25"/>
  <c r="H458" i="25"/>
  <c r="H457" i="25"/>
  <c r="H456" i="25"/>
  <c r="H455" i="25"/>
  <c r="E454" i="25"/>
  <c r="H454" i="25" s="1"/>
  <c r="G453" i="25"/>
  <c r="H453" i="25" s="1"/>
  <c r="G452" i="25"/>
  <c r="H452" i="25" s="1"/>
  <c r="G451" i="25"/>
  <c r="H451" i="25" s="1"/>
  <c r="G450" i="25"/>
  <c r="E450" i="25"/>
  <c r="H449" i="25"/>
  <c r="I449" i="25" s="1"/>
  <c r="H447" i="25"/>
  <c r="H446" i="25"/>
  <c r="H445" i="25"/>
  <c r="G444" i="25"/>
  <c r="H444" i="25" s="1"/>
  <c r="G443" i="25"/>
  <c r="H443" i="25" s="1"/>
  <c r="G442" i="25"/>
  <c r="H442" i="25" s="1"/>
  <c r="G441" i="25"/>
  <c r="E441" i="25"/>
  <c r="D423" i="25"/>
  <c r="H423" i="25" s="1"/>
  <c r="D421" i="25"/>
  <c r="H421" i="25" s="1"/>
  <c r="F372" i="25"/>
  <c r="F373" i="25"/>
  <c r="H416" i="25"/>
  <c r="I417" i="25" s="1"/>
  <c r="H415" i="25"/>
  <c r="H414" i="25"/>
  <c r="H413" i="25"/>
  <c r="D412" i="25"/>
  <c r="H412" i="25" s="1"/>
  <c r="H411" i="25"/>
  <c r="H410" i="25"/>
  <c r="H409" i="25"/>
  <c r="H408" i="25"/>
  <c r="H407" i="25"/>
  <c r="H406" i="25"/>
  <c r="I404" i="25"/>
  <c r="H386" i="25"/>
  <c r="H387" i="25"/>
  <c r="H388" i="25"/>
  <c r="H389" i="25"/>
  <c r="H390" i="25"/>
  <c r="H384" i="25"/>
  <c r="H391" i="25"/>
  <c r="D385" i="25"/>
  <c r="H385" i="25" s="1"/>
  <c r="H383" i="25"/>
  <c r="F374" i="25"/>
  <c r="E374" i="25"/>
  <c r="E373" i="25"/>
  <c r="E372" i="25"/>
  <c r="E369" i="25"/>
  <c r="F369" i="25"/>
  <c r="E368" i="25"/>
  <c r="F368" i="25"/>
  <c r="E333" i="25"/>
  <c r="H333" i="25" s="1"/>
  <c r="E334" i="25"/>
  <c r="H334" i="25" s="1"/>
  <c r="E344" i="25"/>
  <c r="H344" i="25" s="1"/>
  <c r="H343" i="25"/>
  <c r="G337" i="25"/>
  <c r="H337" i="25" s="1"/>
  <c r="H345" i="25"/>
  <c r="E342" i="25"/>
  <c r="H342" i="25" s="1"/>
  <c r="E341" i="25"/>
  <c r="H341" i="25" s="1"/>
  <c r="E340" i="25"/>
  <c r="H340" i="25" s="1"/>
  <c r="E339" i="25"/>
  <c r="H339" i="25" s="1"/>
  <c r="H338" i="25"/>
  <c r="H336" i="25"/>
  <c r="E318" i="25"/>
  <c r="H318" i="25" s="1"/>
  <c r="E315" i="25"/>
  <c r="H315" i="25" s="1"/>
  <c r="E316" i="25"/>
  <c r="H316" i="25" s="1"/>
  <c r="E314" i="25"/>
  <c r="H314" i="25" s="1"/>
  <c r="G313" i="25"/>
  <c r="H313" i="25" s="1"/>
  <c r="E308" i="25"/>
  <c r="H308" i="25" s="1"/>
  <c r="E307" i="25"/>
  <c r="H307" i="25" s="1"/>
  <c r="E306" i="25"/>
  <c r="H306" i="25" s="1"/>
  <c r="E305" i="25"/>
  <c r="E268" i="25"/>
  <c r="H268" i="25" s="1"/>
  <c r="H295" i="25"/>
  <c r="H291" i="25"/>
  <c r="H283" i="25"/>
  <c r="H278" i="25"/>
  <c r="H272" i="25"/>
  <c r="M298" i="25"/>
  <c r="M297" i="25"/>
  <c r="H296" i="25"/>
  <c r="H294" i="25"/>
  <c r="M293" i="25"/>
  <c r="H292" i="25"/>
  <c r="H290" i="25"/>
  <c r="M289" i="25"/>
  <c r="H287" i="25"/>
  <c r="J286" i="25" s="1"/>
  <c r="M286" i="25"/>
  <c r="H284" i="25"/>
  <c r="H282" i="25"/>
  <c r="M281" i="25"/>
  <c r="M280" i="25"/>
  <c r="H279" i="25"/>
  <c r="H277" i="25"/>
  <c r="M276" i="25"/>
  <c r="H273" i="25"/>
  <c r="H271" i="25"/>
  <c r="M270" i="25"/>
  <c r="E269" i="25"/>
  <c r="H269" i="25" s="1"/>
  <c r="E267" i="25"/>
  <c r="H267" i="25" s="1"/>
  <c r="M266" i="25"/>
  <c r="H239" i="24"/>
  <c r="H238" i="24"/>
  <c r="H236" i="24"/>
  <c r="H235" i="24"/>
  <c r="H232" i="24"/>
  <c r="J231" i="24" s="1"/>
  <c r="O231" i="24" s="1"/>
  <c r="H229" i="24"/>
  <c r="H228" i="24"/>
  <c r="E216" i="24"/>
  <c r="H216" i="24" s="1"/>
  <c r="H225" i="24"/>
  <c r="H224" i="24"/>
  <c r="E217" i="24"/>
  <c r="H217" i="24" s="1"/>
  <c r="H220" i="24"/>
  <c r="H219" i="24"/>
  <c r="H322" i="25"/>
  <c r="H321" i="25"/>
  <c r="H320" i="25"/>
  <c r="H266" i="24"/>
  <c r="H267" i="24"/>
  <c r="H265" i="24"/>
  <c r="D260" i="25"/>
  <c r="H260" i="25" s="1"/>
  <c r="D254" i="25"/>
  <c r="H254" i="25" s="1"/>
  <c r="D246" i="25"/>
  <c r="H246" i="25" s="1"/>
  <c r="D237" i="25"/>
  <c r="H237" i="25" s="1"/>
  <c r="D228" i="25"/>
  <c r="H228" i="25" s="1"/>
  <c r="H259" i="25"/>
  <c r="H251" i="25"/>
  <c r="H242" i="25"/>
  <c r="H233" i="25"/>
  <c r="E258" i="25"/>
  <c r="H258" i="25" s="1"/>
  <c r="E257" i="25"/>
  <c r="H257" i="25" s="1"/>
  <c r="H256" i="25"/>
  <c r="H255" i="25"/>
  <c r="E253" i="25"/>
  <c r="H253" i="25" s="1"/>
  <c r="E252" i="25"/>
  <c r="H252" i="25" s="1"/>
  <c r="E250" i="25"/>
  <c r="H250" i="25" s="1"/>
  <c r="E249" i="25"/>
  <c r="H249" i="25" s="1"/>
  <c r="H248" i="25"/>
  <c r="H247" i="25"/>
  <c r="E245" i="25"/>
  <c r="H245" i="25" s="1"/>
  <c r="E244" i="25"/>
  <c r="H244" i="25" s="1"/>
  <c r="E243" i="25"/>
  <c r="H243" i="25" s="1"/>
  <c r="E241" i="25"/>
  <c r="H241" i="25" s="1"/>
  <c r="H240" i="25"/>
  <c r="H239" i="25"/>
  <c r="H238" i="25"/>
  <c r="E236" i="25"/>
  <c r="H236" i="25" s="1"/>
  <c r="H235" i="25"/>
  <c r="E234" i="25"/>
  <c r="H234" i="25" s="1"/>
  <c r="E232" i="25"/>
  <c r="H232" i="25" s="1"/>
  <c r="H231" i="25"/>
  <c r="H230" i="25"/>
  <c r="H229" i="25"/>
  <c r="E227" i="25"/>
  <c r="H227" i="25" s="1"/>
  <c r="E226" i="25"/>
  <c r="H226" i="25" s="1"/>
  <c r="E224" i="25"/>
  <c r="H224" i="25" s="1"/>
  <c r="E223" i="25"/>
  <c r="H223" i="25" s="1"/>
  <c r="H214" i="25"/>
  <c r="I215" i="25" s="1"/>
  <c r="H213" i="25"/>
  <c r="K200" i="25"/>
  <c r="M200" i="25" s="1"/>
  <c r="E195" i="25"/>
  <c r="F195" i="25"/>
  <c r="H183" i="25"/>
  <c r="E181" i="25"/>
  <c r="H188" i="25"/>
  <c r="H189" i="25"/>
  <c r="H190" i="25"/>
  <c r="H191" i="25"/>
  <c r="H192" i="25"/>
  <c r="H187" i="25"/>
  <c r="H186" i="25"/>
  <c r="H185" i="25"/>
  <c r="H217" i="25"/>
  <c r="I218" i="25" s="1"/>
  <c r="H216" i="25"/>
  <c r="H212" i="25"/>
  <c r="H211" i="25"/>
  <c r="D210" i="25"/>
  <c r="H210" i="25" s="1"/>
  <c r="H209" i="25"/>
  <c r="H208" i="25"/>
  <c r="H207" i="25"/>
  <c r="H206" i="25"/>
  <c r="H205" i="25"/>
  <c r="H204" i="25"/>
  <c r="I202" i="25"/>
  <c r="F176" i="25"/>
  <c r="E176" i="25"/>
  <c r="F175" i="25"/>
  <c r="E175" i="25"/>
  <c r="H199" i="25"/>
  <c r="F198" i="25"/>
  <c r="E198" i="25"/>
  <c r="H197" i="25"/>
  <c r="H196" i="25"/>
  <c r="H194" i="25"/>
  <c r="H184" i="25"/>
  <c r="H178" i="25"/>
  <c r="H842" i="24"/>
  <c r="H841" i="24"/>
  <c r="I842" i="24" s="1"/>
  <c r="H840" i="24"/>
  <c r="M839" i="24"/>
  <c r="H839" i="24"/>
  <c r="H335" i="24"/>
  <c r="H171" i="24"/>
  <c r="I172" i="24" s="1"/>
  <c r="H170" i="24"/>
  <c r="H169" i="24"/>
  <c r="D167" i="24"/>
  <c r="H167" i="24" s="1"/>
  <c r="H166" i="24"/>
  <c r="H165" i="24"/>
  <c r="H164" i="24"/>
  <c r="H163" i="24"/>
  <c r="H162" i="24"/>
  <c r="H161" i="24"/>
  <c r="H168" i="24"/>
  <c r="I159" i="24" s="1"/>
  <c r="K156" i="24"/>
  <c r="M156" i="24" s="1"/>
  <c r="F153" i="24"/>
  <c r="E153" i="24"/>
  <c r="F150" i="24"/>
  <c r="E150" i="24"/>
  <c r="F147" i="24"/>
  <c r="E147" i="24"/>
  <c r="F146" i="24"/>
  <c r="E146" i="24"/>
  <c r="F145" i="24"/>
  <c r="E145" i="24"/>
  <c r="F144" i="24"/>
  <c r="E144" i="24"/>
  <c r="H154" i="24"/>
  <c r="H152" i="24"/>
  <c r="H151" i="24"/>
  <c r="H149" i="24"/>
  <c r="H148" i="24"/>
  <c r="D145" i="24"/>
  <c r="H143" i="24"/>
  <c r="E141" i="24"/>
  <c r="H141" i="24" s="1"/>
  <c r="E140" i="24"/>
  <c r="H140" i="24" s="1"/>
  <c r="F139" i="24"/>
  <c r="E139" i="24"/>
  <c r="E168" i="25"/>
  <c r="H168" i="25" s="1"/>
  <c r="E167" i="25"/>
  <c r="H167" i="25" s="1"/>
  <c r="H166" i="25"/>
  <c r="H165" i="25"/>
  <c r="E164" i="25"/>
  <c r="H164" i="25" s="1"/>
  <c r="E163" i="25"/>
  <c r="H163" i="25" s="1"/>
  <c r="H162" i="25"/>
  <c r="E160" i="25"/>
  <c r="H160" i="25" s="1"/>
  <c r="H159" i="25"/>
  <c r="H158" i="25"/>
  <c r="H157" i="25"/>
  <c r="E156" i="25"/>
  <c r="H156" i="25" s="1"/>
  <c r="H155" i="25"/>
  <c r="H154" i="25"/>
  <c r="H153" i="25"/>
  <c r="E152" i="25"/>
  <c r="H152" i="25" s="1"/>
  <c r="E151" i="25"/>
  <c r="H151" i="25" s="1"/>
  <c r="H150" i="25"/>
  <c r="E138" i="25"/>
  <c r="H138" i="25" s="1"/>
  <c r="H137" i="25"/>
  <c r="H136" i="25"/>
  <c r="E134" i="25"/>
  <c r="H134" i="25" s="1"/>
  <c r="E130" i="25"/>
  <c r="H130" i="25" s="1"/>
  <c r="E129" i="25"/>
  <c r="F96" i="25"/>
  <c r="E96" i="25"/>
  <c r="E95" i="25"/>
  <c r="H95" i="25" s="1"/>
  <c r="E94" i="25"/>
  <c r="H94" i="25" s="1"/>
  <c r="H93" i="25"/>
  <c r="H92" i="25"/>
  <c r="E91" i="25"/>
  <c r="H91" i="25" s="1"/>
  <c r="E90" i="25"/>
  <c r="H90" i="25" s="1"/>
  <c r="F89" i="25"/>
  <c r="E89" i="25"/>
  <c r="E88" i="25"/>
  <c r="H88" i="25" s="1"/>
  <c r="E87" i="25"/>
  <c r="H87" i="25" s="1"/>
  <c r="H86" i="25"/>
  <c r="H85" i="25"/>
  <c r="E84" i="25"/>
  <c r="H84" i="25" s="1"/>
  <c r="E83" i="25"/>
  <c r="H83" i="25" s="1"/>
  <c r="E82" i="25"/>
  <c r="H82" i="25" s="1"/>
  <c r="F81" i="25"/>
  <c r="E81" i="25"/>
  <c r="E80" i="25"/>
  <c r="H80" i="25" s="1"/>
  <c r="H79" i="25"/>
  <c r="H78" i="25"/>
  <c r="H77" i="25"/>
  <c r="E76" i="25"/>
  <c r="H76" i="25" s="1"/>
  <c r="E75" i="25"/>
  <c r="H75" i="25" s="1"/>
  <c r="H74" i="25"/>
  <c r="E73" i="25"/>
  <c r="H73" i="25" s="1"/>
  <c r="F72" i="25"/>
  <c r="E72" i="25"/>
  <c r="E71" i="25"/>
  <c r="H71" i="25" s="1"/>
  <c r="H70" i="25"/>
  <c r="H69" i="25"/>
  <c r="H68" i="25"/>
  <c r="E67" i="25"/>
  <c r="H67" i="25" s="1"/>
  <c r="E66" i="25"/>
  <c r="H66" i="25" s="1"/>
  <c r="F65" i="25"/>
  <c r="E65" i="25"/>
  <c r="E64" i="25"/>
  <c r="H64" i="25" s="1"/>
  <c r="E63" i="25"/>
  <c r="H63" i="25" s="1"/>
  <c r="F13" i="25"/>
  <c r="E13" i="25"/>
  <c r="F12" i="25"/>
  <c r="E12" i="25"/>
  <c r="F11" i="25"/>
  <c r="E11" i="25"/>
  <c r="F10" i="25"/>
  <c r="E10" i="25"/>
  <c r="F9" i="25"/>
  <c r="H9" i="25" s="1"/>
  <c r="F8" i="25"/>
  <c r="E41" i="25"/>
  <c r="H41" i="25" s="1"/>
  <c r="E40" i="25"/>
  <c r="H40" i="25" s="1"/>
  <c r="E39" i="25"/>
  <c r="H39" i="25" s="1"/>
  <c r="E37" i="25"/>
  <c r="H37" i="25" s="1"/>
  <c r="H42" i="25"/>
  <c r="F38" i="25"/>
  <c r="E38" i="25"/>
  <c r="H36" i="25"/>
  <c r="H35" i="25"/>
  <c r="E33" i="25"/>
  <c r="H33" i="25" s="1"/>
  <c r="E32" i="25"/>
  <c r="H32" i="25" s="1"/>
  <c r="E30" i="25"/>
  <c r="H30" i="25" s="1"/>
  <c r="E28" i="25"/>
  <c r="H28" i="25" s="1"/>
  <c r="E24" i="25"/>
  <c r="H24" i="25" s="1"/>
  <c r="E23" i="25"/>
  <c r="H23" i="25" s="1"/>
  <c r="F22" i="25"/>
  <c r="E21" i="25"/>
  <c r="H21" i="25" s="1"/>
  <c r="E20" i="25"/>
  <c r="H20" i="25" s="1"/>
  <c r="E8" i="25"/>
  <c r="M1756" i="25"/>
  <c r="M1755" i="25"/>
  <c r="M1754" i="25"/>
  <c r="M1753" i="25"/>
  <c r="M1750" i="25"/>
  <c r="M1751" i="25" s="1"/>
  <c r="H1750" i="25"/>
  <c r="I1750" i="25" s="1"/>
  <c r="J1750" i="25" s="1"/>
  <c r="O1750" i="25" s="1"/>
  <c r="H1745" i="25"/>
  <c r="I1746" i="25" s="1"/>
  <c r="E1742" i="25"/>
  <c r="H1742" i="25" s="1"/>
  <c r="M1741" i="25"/>
  <c r="H1739" i="25"/>
  <c r="H1738" i="25"/>
  <c r="H1737" i="25"/>
  <c r="H1736" i="25"/>
  <c r="H1735" i="25"/>
  <c r="E1733" i="25"/>
  <c r="H1733" i="25" s="1"/>
  <c r="M1732" i="25"/>
  <c r="M1705" i="25"/>
  <c r="M1550" i="25"/>
  <c r="H1549" i="25"/>
  <c r="H1546" i="25"/>
  <c r="H1545" i="25"/>
  <c r="H1544" i="25"/>
  <c r="H1543" i="25"/>
  <c r="H1538" i="25"/>
  <c r="H1537" i="25"/>
  <c r="M1535" i="25"/>
  <c r="M1532" i="25"/>
  <c r="H1532" i="25"/>
  <c r="I1532" i="25" s="1"/>
  <c r="J1532" i="25" s="1"/>
  <c r="O1532" i="25" s="1"/>
  <c r="M1531" i="25"/>
  <c r="H1531" i="25"/>
  <c r="I1531" i="25" s="1"/>
  <c r="J1531" i="25" s="1"/>
  <c r="O1531" i="25" s="1"/>
  <c r="M1530" i="25"/>
  <c r="M1529" i="25"/>
  <c r="H1529" i="25"/>
  <c r="I1529" i="25" s="1"/>
  <c r="J1529" i="25" s="1"/>
  <c r="O1529" i="25" s="1"/>
  <c r="M1528" i="25"/>
  <c r="H1528" i="25"/>
  <c r="I1528" i="25" s="1"/>
  <c r="J1528" i="25" s="1"/>
  <c r="O1528" i="25" s="1"/>
  <c r="M1527" i="25"/>
  <c r="H1527" i="25"/>
  <c r="I1527" i="25" s="1"/>
  <c r="J1527" i="25" s="1"/>
  <c r="O1527" i="25" s="1"/>
  <c r="M1526" i="25"/>
  <c r="H1526" i="25"/>
  <c r="I1526" i="25" s="1"/>
  <c r="M1525" i="25"/>
  <c r="H1525" i="25"/>
  <c r="I1525" i="25" s="1"/>
  <c r="M1524" i="25"/>
  <c r="H1522" i="25"/>
  <c r="I1522" i="25" s="1"/>
  <c r="M1521" i="25"/>
  <c r="H1521" i="25"/>
  <c r="I1521" i="25" s="1"/>
  <c r="M1519" i="25"/>
  <c r="H1519" i="25"/>
  <c r="I1519" i="25" s="1"/>
  <c r="H1516" i="25"/>
  <c r="I1516" i="25" s="1"/>
  <c r="J1515" i="25" s="1"/>
  <c r="M1515" i="25"/>
  <c r="H1515" i="25"/>
  <c r="I1515" i="25" s="1"/>
  <c r="H1513" i="25"/>
  <c r="I1513" i="25" s="1"/>
  <c r="J1512" i="25" s="1"/>
  <c r="M1512" i="25"/>
  <c r="H1512" i="25"/>
  <c r="I1512" i="25" s="1"/>
  <c r="H1511" i="25"/>
  <c r="I1511" i="25" s="1"/>
  <c r="J1510" i="25" s="1"/>
  <c r="M1510" i="25"/>
  <c r="H1510" i="25"/>
  <c r="I1510" i="25" s="1"/>
  <c r="H1508" i="25"/>
  <c r="I1508" i="25" s="1"/>
  <c r="J1507" i="25" s="1"/>
  <c r="M1507" i="25"/>
  <c r="H1507" i="25"/>
  <c r="I1507" i="25" s="1"/>
  <c r="H1505" i="25"/>
  <c r="I1505" i="25" s="1"/>
  <c r="J1504" i="25" s="1"/>
  <c r="M1504" i="25"/>
  <c r="H1504" i="25"/>
  <c r="I1504" i="25" s="1"/>
  <c r="M1503" i="25"/>
  <c r="H1502" i="25"/>
  <c r="I1502" i="25" s="1"/>
  <c r="H1500" i="25"/>
  <c r="I1500" i="25" s="1"/>
  <c r="M1499" i="25"/>
  <c r="H1499" i="25"/>
  <c r="I1499" i="25" s="1"/>
  <c r="H1498" i="25"/>
  <c r="I1498" i="25" s="1"/>
  <c r="J1497" i="25" s="1"/>
  <c r="M1497" i="25"/>
  <c r="H1497" i="25"/>
  <c r="I1497" i="25" s="1"/>
  <c r="H1496" i="25"/>
  <c r="I1496" i="25" s="1"/>
  <c r="J1495" i="25" s="1"/>
  <c r="M1495" i="25"/>
  <c r="H1495" i="25"/>
  <c r="I1495" i="25" s="1"/>
  <c r="H1494" i="25"/>
  <c r="I1494" i="25" s="1"/>
  <c r="H1492" i="25"/>
  <c r="I1492" i="25" s="1"/>
  <c r="M1491" i="25"/>
  <c r="H1491" i="25"/>
  <c r="I1491" i="25" s="1"/>
  <c r="E1487" i="25"/>
  <c r="H1487" i="25" s="1"/>
  <c r="I1487" i="25" s="1"/>
  <c r="E1486" i="25"/>
  <c r="H1486" i="25" s="1"/>
  <c r="I1486" i="25" s="1"/>
  <c r="M1485" i="25"/>
  <c r="H1485" i="25"/>
  <c r="I1485" i="25" s="1"/>
  <c r="M1484" i="25"/>
  <c r="H1484" i="25"/>
  <c r="I1484" i="25" s="1"/>
  <c r="J1484" i="25" s="1"/>
  <c r="D1483" i="25"/>
  <c r="H1483" i="25" s="1"/>
  <c r="I1483" i="25" s="1"/>
  <c r="H1481" i="25"/>
  <c r="I1481" i="25" s="1"/>
  <c r="M1480" i="25"/>
  <c r="H1480" i="25"/>
  <c r="I1480" i="25" s="1"/>
  <c r="M1479" i="25"/>
  <c r="M1478" i="25"/>
  <c r="H1478" i="25"/>
  <c r="I1478" i="25" s="1"/>
  <c r="J1478" i="25" s="1"/>
  <c r="M1477" i="25"/>
  <c r="M1476" i="25"/>
  <c r="M1475" i="25"/>
  <c r="M1474" i="25"/>
  <c r="H1474" i="25"/>
  <c r="I1474" i="25" s="1"/>
  <c r="J1474" i="25" s="1"/>
  <c r="M1473" i="25"/>
  <c r="H1473" i="25"/>
  <c r="I1473" i="25" s="1"/>
  <c r="J1473" i="25" s="1"/>
  <c r="E1470" i="25"/>
  <c r="H1470" i="25" s="1"/>
  <c r="I1470" i="25" s="1"/>
  <c r="M1469" i="25"/>
  <c r="H1469" i="25"/>
  <c r="I1469" i="25" s="1"/>
  <c r="M1468" i="25"/>
  <c r="H1468" i="25"/>
  <c r="I1468" i="25" s="1"/>
  <c r="J1468" i="25" s="1"/>
  <c r="M1467" i="25"/>
  <c r="H1467" i="25"/>
  <c r="I1467" i="25" s="1"/>
  <c r="J1467" i="25" s="1"/>
  <c r="M1463" i="25"/>
  <c r="H1463" i="25"/>
  <c r="I1463" i="25" s="1"/>
  <c r="J1463" i="25" s="1"/>
  <c r="H1460" i="25"/>
  <c r="I1460" i="25" s="1"/>
  <c r="J1459" i="25" s="1"/>
  <c r="M1459" i="25"/>
  <c r="H1457" i="25"/>
  <c r="I1457" i="25" s="1"/>
  <c r="M1456" i="25"/>
  <c r="H1454" i="25"/>
  <c r="I1454" i="25" s="1"/>
  <c r="H1453" i="25"/>
  <c r="I1453" i="25" s="1"/>
  <c r="H1452" i="25"/>
  <c r="I1452" i="25" s="1"/>
  <c r="H1451" i="25"/>
  <c r="I1451" i="25" s="1"/>
  <c r="M1450" i="25"/>
  <c r="H1449" i="25"/>
  <c r="I1449" i="25" s="1"/>
  <c r="H1448" i="25"/>
  <c r="I1448" i="25" s="1"/>
  <c r="H1447" i="25"/>
  <c r="I1447" i="25" s="1"/>
  <c r="D1446" i="25"/>
  <c r="H1446" i="25" s="1"/>
  <c r="I1446" i="25" s="1"/>
  <c r="M1445" i="25"/>
  <c r="H1445" i="25"/>
  <c r="I1445" i="25" s="1"/>
  <c r="H1444" i="25"/>
  <c r="I1444" i="25" s="1"/>
  <c r="H1443" i="25"/>
  <c r="I1443" i="25" s="1"/>
  <c r="H1441" i="25"/>
  <c r="I1441" i="25" s="1"/>
  <c r="H1440" i="25"/>
  <c r="I1440" i="25" s="1"/>
  <c r="M1439" i="25"/>
  <c r="H1438" i="25"/>
  <c r="I1438" i="25" s="1"/>
  <c r="H1437" i="25"/>
  <c r="I1437" i="25" s="1"/>
  <c r="H1435" i="25"/>
  <c r="I1435" i="25" s="1"/>
  <c r="H1434" i="25"/>
  <c r="I1434" i="25" s="1"/>
  <c r="M1433" i="25"/>
  <c r="H1430" i="25"/>
  <c r="I1430" i="25" s="1"/>
  <c r="H1429" i="25"/>
  <c r="I1429" i="25" s="1"/>
  <c r="H1428" i="25"/>
  <c r="I1428" i="25" s="1"/>
  <c r="H1427" i="25"/>
  <c r="I1427" i="25" s="1"/>
  <c r="M1426" i="25"/>
  <c r="H1426" i="25"/>
  <c r="I1426" i="25" s="1"/>
  <c r="H1424" i="25"/>
  <c r="I1424" i="25" s="1"/>
  <c r="H1423" i="25"/>
  <c r="I1423" i="25" s="1"/>
  <c r="H1422" i="25"/>
  <c r="I1422" i="25" s="1"/>
  <c r="H1421" i="25"/>
  <c r="I1421" i="25" s="1"/>
  <c r="M1420" i="25"/>
  <c r="H1420" i="25"/>
  <c r="I1420" i="25" s="1"/>
  <c r="H1418" i="25"/>
  <c r="I1418" i="25" s="1"/>
  <c r="H1417" i="25"/>
  <c r="I1417" i="25" s="1"/>
  <c r="H1415" i="25"/>
  <c r="I1415" i="25" s="1"/>
  <c r="H1414" i="25"/>
  <c r="I1414" i="25" s="1"/>
  <c r="M1413" i="25"/>
  <c r="H1413" i="25"/>
  <c r="I1413" i="25" s="1"/>
  <c r="H1411" i="25"/>
  <c r="I1411" i="25" s="1"/>
  <c r="H1410" i="25"/>
  <c r="I1410" i="25" s="1"/>
  <c r="H1408" i="25"/>
  <c r="I1408" i="25" s="1"/>
  <c r="H1407" i="25"/>
  <c r="I1407" i="25" s="1"/>
  <c r="M1406" i="25"/>
  <c r="H1406" i="25"/>
  <c r="I1406" i="25" s="1"/>
  <c r="H1397" i="25"/>
  <c r="I1397" i="25" s="1"/>
  <c r="H1396" i="25"/>
  <c r="I1396" i="25" s="1"/>
  <c r="H1394" i="25"/>
  <c r="I1394" i="25" s="1"/>
  <c r="M1392" i="25"/>
  <c r="H1392" i="25"/>
  <c r="I1392" i="25" s="1"/>
  <c r="H1389" i="25"/>
  <c r="I1389" i="25" s="1"/>
  <c r="H1388" i="25"/>
  <c r="I1388" i="25" s="1"/>
  <c r="H1386" i="25"/>
  <c r="I1386" i="25" s="1"/>
  <c r="D1385" i="25"/>
  <c r="H1385" i="25" s="1"/>
  <c r="I1385" i="25" s="1"/>
  <c r="M1384" i="25"/>
  <c r="H1384" i="25"/>
  <c r="I1384" i="25" s="1"/>
  <c r="H1383" i="25"/>
  <c r="I1383" i="25" s="1"/>
  <c r="H1382" i="25"/>
  <c r="I1382" i="25" s="1"/>
  <c r="H1381" i="25"/>
  <c r="I1381" i="25" s="1"/>
  <c r="H1380" i="25"/>
  <c r="I1380" i="25" s="1"/>
  <c r="M1379" i="25"/>
  <c r="H1379" i="25"/>
  <c r="I1379" i="25" s="1"/>
  <c r="H1378" i="25"/>
  <c r="I1378" i="25" s="1"/>
  <c r="H1377" i="25"/>
  <c r="I1377" i="25" s="1"/>
  <c r="H1375" i="25"/>
  <c r="I1375" i="25" s="1"/>
  <c r="H1374" i="25"/>
  <c r="I1374" i="25" s="1"/>
  <c r="M1373" i="25"/>
  <c r="H1373" i="25"/>
  <c r="I1373" i="25" s="1"/>
  <c r="H1372" i="25"/>
  <c r="I1372" i="25" s="1"/>
  <c r="H1371" i="25"/>
  <c r="I1371" i="25" s="1"/>
  <c r="H1370" i="25"/>
  <c r="I1370" i="25" s="1"/>
  <c r="H1369" i="25"/>
  <c r="I1369" i="25" s="1"/>
  <c r="M1368" i="25"/>
  <c r="H1368" i="25"/>
  <c r="I1368" i="25" s="1"/>
  <c r="H1367" i="25"/>
  <c r="I1367" i="25" s="1"/>
  <c r="H1366" i="25"/>
  <c r="I1366" i="25" s="1"/>
  <c r="H1364" i="25"/>
  <c r="I1364" i="25" s="1"/>
  <c r="H1363" i="25"/>
  <c r="I1363" i="25" s="1"/>
  <c r="M1362" i="25"/>
  <c r="H1362" i="25"/>
  <c r="I1362" i="25" s="1"/>
  <c r="M1360" i="25"/>
  <c r="H1360" i="25"/>
  <c r="I1360" i="25" s="1"/>
  <c r="J1360" i="25" s="1"/>
  <c r="H1357" i="25"/>
  <c r="I1357" i="25" s="1"/>
  <c r="H1356" i="25"/>
  <c r="I1356" i="25" s="1"/>
  <c r="M1355" i="25"/>
  <c r="I1355" i="25"/>
  <c r="H1353" i="25"/>
  <c r="I1353" i="25" s="1"/>
  <c r="H1351" i="25"/>
  <c r="I1351" i="25" s="1"/>
  <c r="M1350" i="25"/>
  <c r="H1350" i="25"/>
  <c r="I1350" i="25" s="1"/>
  <c r="H1348" i="25"/>
  <c r="H1347" i="25"/>
  <c r="H1345" i="25"/>
  <c r="H1344" i="25"/>
  <c r="M1343" i="25"/>
  <c r="M1341" i="25"/>
  <c r="H1341" i="25"/>
  <c r="I1341" i="25" s="1"/>
  <c r="J1341" i="25" s="1"/>
  <c r="O1341" i="25" s="1"/>
  <c r="H1339" i="25"/>
  <c r="I1339" i="25" s="1"/>
  <c r="J1338" i="25" s="1"/>
  <c r="O1338" i="25" s="1"/>
  <c r="M1338" i="25"/>
  <c r="H1338" i="25"/>
  <c r="H1336" i="25"/>
  <c r="I1336" i="25" s="1"/>
  <c r="E1335" i="25"/>
  <c r="H1335" i="25" s="1"/>
  <c r="I1335" i="25" s="1"/>
  <c r="H1333" i="25"/>
  <c r="I1333" i="25" s="1"/>
  <c r="H1332" i="25"/>
  <c r="I1332" i="25" s="1"/>
  <c r="M1331" i="25"/>
  <c r="H1331" i="25"/>
  <c r="M1330" i="25"/>
  <c r="H1330" i="25"/>
  <c r="I1330" i="25" s="1"/>
  <c r="J1330" i="25" s="1"/>
  <c r="O1330" i="25" s="1"/>
  <c r="M1328" i="25"/>
  <c r="M1327" i="25"/>
  <c r="H1327" i="25"/>
  <c r="I1327" i="25" s="1"/>
  <c r="J1327" i="25" s="1"/>
  <c r="M1326" i="25"/>
  <c r="H1326" i="25"/>
  <c r="I1326" i="25" s="1"/>
  <c r="J1326" i="25" s="1"/>
  <c r="M1325" i="25"/>
  <c r="H1325" i="25"/>
  <c r="I1325" i="25" s="1"/>
  <c r="J1325" i="25" s="1"/>
  <c r="M1324" i="25"/>
  <c r="H1324" i="25"/>
  <c r="I1324" i="25" s="1"/>
  <c r="J1324" i="25" s="1"/>
  <c r="M1319" i="25"/>
  <c r="H1319" i="25"/>
  <c r="I1319" i="25" s="1"/>
  <c r="J1319" i="25" s="1"/>
  <c r="M1318" i="25"/>
  <c r="H1318" i="25"/>
  <c r="I1318" i="25" s="1"/>
  <c r="J1318" i="25" s="1"/>
  <c r="M1317" i="25"/>
  <c r="H1317" i="25"/>
  <c r="I1317" i="25" s="1"/>
  <c r="J1317" i="25" s="1"/>
  <c r="I1316" i="25"/>
  <c r="M1315" i="25"/>
  <c r="H1315" i="25"/>
  <c r="I1315" i="25" s="1"/>
  <c r="J1315" i="25" s="1"/>
  <c r="O1315" i="25" s="1"/>
  <c r="H1312" i="25"/>
  <c r="H1311" i="25"/>
  <c r="H1310" i="25"/>
  <c r="M1309" i="25"/>
  <c r="E1307" i="25"/>
  <c r="H1307" i="25" s="1"/>
  <c r="I1307" i="25" s="1"/>
  <c r="H1306" i="25"/>
  <c r="E1305" i="25"/>
  <c r="M1303" i="25"/>
  <c r="M1299" i="25"/>
  <c r="H1299" i="25"/>
  <c r="I1299" i="25" s="1"/>
  <c r="M1281" i="25"/>
  <c r="H1281" i="25"/>
  <c r="H1277" i="25"/>
  <c r="I1278" i="25" s="1"/>
  <c r="H1276" i="25"/>
  <c r="I1277" i="25" s="1"/>
  <c r="H1275" i="25"/>
  <c r="H1270" i="25"/>
  <c r="H1269" i="25"/>
  <c r="H1268" i="25"/>
  <c r="M1267" i="25"/>
  <c r="H1267" i="25"/>
  <c r="H1265" i="25"/>
  <c r="I1265" i="25" s="1"/>
  <c r="J1263" i="25" s="1"/>
  <c r="O1263" i="25" s="1"/>
  <c r="M1263" i="25"/>
  <c r="H1263" i="25"/>
  <c r="H1262" i="25"/>
  <c r="H1261" i="25"/>
  <c r="I1261" i="25" s="1"/>
  <c r="J1260" i="25" s="1"/>
  <c r="M1260" i="25"/>
  <c r="H1252" i="25"/>
  <c r="I1253" i="25" s="1"/>
  <c r="H1251" i="25"/>
  <c r="M1250" i="25"/>
  <c r="H1247" i="25"/>
  <c r="I1248" i="25" s="1"/>
  <c r="H1246" i="25"/>
  <c r="I1247" i="25" s="1"/>
  <c r="H1245" i="25"/>
  <c r="I1246" i="25" s="1"/>
  <c r="H1244" i="25"/>
  <c r="I1245" i="25" s="1"/>
  <c r="H1243" i="25"/>
  <c r="H1237" i="25"/>
  <c r="H1236" i="25"/>
  <c r="H1235" i="25"/>
  <c r="M1232" i="25"/>
  <c r="H1227" i="25"/>
  <c r="H1226" i="25"/>
  <c r="H1225" i="25"/>
  <c r="I1225" i="25" s="1"/>
  <c r="H1224" i="25"/>
  <c r="H1223" i="25"/>
  <c r="H1222" i="25"/>
  <c r="M1220" i="25"/>
  <c r="H1218" i="25"/>
  <c r="I1219" i="25" s="1"/>
  <c r="H1217" i="25"/>
  <c r="I1218" i="25" s="1"/>
  <c r="H1216" i="25"/>
  <c r="I1217" i="25" s="1"/>
  <c r="H1215" i="25"/>
  <c r="I1216" i="25" s="1"/>
  <c r="H1214" i="25"/>
  <c r="H1210" i="25"/>
  <c r="I1210" i="25" s="1"/>
  <c r="H1209" i="25"/>
  <c r="H1207" i="25"/>
  <c r="I1207" i="25" s="1"/>
  <c r="M1205" i="25"/>
  <c r="H1203" i="25"/>
  <c r="H1202" i="25"/>
  <c r="I1203" i="25" s="1"/>
  <c r="H1201" i="25"/>
  <c r="I1202" i="25" s="1"/>
  <c r="H1200" i="25"/>
  <c r="I1201" i="25" s="1"/>
  <c r="H1199" i="25"/>
  <c r="H1194" i="25"/>
  <c r="H1193" i="25"/>
  <c r="H1192" i="25"/>
  <c r="H1191" i="25"/>
  <c r="H1189" i="25"/>
  <c r="I1189" i="25" s="1"/>
  <c r="M1187" i="25"/>
  <c r="M1177" i="25"/>
  <c r="H1176" i="25"/>
  <c r="H1175" i="25"/>
  <c r="E1174" i="25"/>
  <c r="H1174" i="25" s="1"/>
  <c r="H1173" i="25"/>
  <c r="E1172" i="25"/>
  <c r="H1172" i="25" s="1"/>
  <c r="E1171" i="25"/>
  <c r="H1171" i="25" s="1"/>
  <c r="E1170" i="25"/>
  <c r="H1170" i="25" s="1"/>
  <c r="H1169" i="25"/>
  <c r="E1168" i="25"/>
  <c r="H1168" i="25" s="1"/>
  <c r="H1167" i="25"/>
  <c r="E1166" i="25"/>
  <c r="H1166" i="25" s="1"/>
  <c r="H1165" i="25"/>
  <c r="E1164" i="25"/>
  <c r="H1164" i="25" s="1"/>
  <c r="H1163" i="25"/>
  <c r="E1162" i="25"/>
  <c r="H1162" i="25" s="1"/>
  <c r="H1161" i="25"/>
  <c r="H1160" i="25"/>
  <c r="M1137" i="25"/>
  <c r="H1131" i="25"/>
  <c r="M1130" i="25"/>
  <c r="H1122" i="25"/>
  <c r="H1120" i="25"/>
  <c r="H1119" i="25"/>
  <c r="H1118" i="25"/>
  <c r="H1117" i="25"/>
  <c r="D1116" i="25"/>
  <c r="H1116" i="25" s="1"/>
  <c r="D1115" i="25"/>
  <c r="H1115" i="25" s="1"/>
  <c r="H1114" i="25"/>
  <c r="H1113" i="25"/>
  <c r="H1112" i="25"/>
  <c r="H1091" i="25"/>
  <c r="H1090" i="25"/>
  <c r="H1088" i="25"/>
  <c r="H1087" i="25"/>
  <c r="H1086" i="25"/>
  <c r="H1085" i="25"/>
  <c r="H1084" i="25"/>
  <c r="H1083" i="25"/>
  <c r="I1082" i="25"/>
  <c r="M1079" i="25"/>
  <c r="H1068" i="25"/>
  <c r="H1067" i="25"/>
  <c r="M1065" i="25"/>
  <c r="H1062" i="25"/>
  <c r="H1061" i="25"/>
  <c r="H1060" i="25"/>
  <c r="H1059" i="25"/>
  <c r="H1058" i="25"/>
  <c r="H1057" i="25"/>
  <c r="H1056" i="25"/>
  <c r="H1055" i="25"/>
  <c r="H1054" i="25"/>
  <c r="I1054" i="25" s="1"/>
  <c r="H1053" i="25"/>
  <c r="H1051" i="25"/>
  <c r="H1050" i="25"/>
  <c r="H1048" i="25"/>
  <c r="H1047" i="25"/>
  <c r="H1046" i="25"/>
  <c r="H1045" i="25"/>
  <c r="H1044" i="25"/>
  <c r="H1043" i="25"/>
  <c r="H1042" i="25"/>
  <c r="M1041" i="25"/>
  <c r="H1037" i="25"/>
  <c r="H1036" i="25"/>
  <c r="H1035" i="25"/>
  <c r="H1034" i="25"/>
  <c r="H1033" i="25"/>
  <c r="H1032" i="25"/>
  <c r="I1032" i="25" s="1"/>
  <c r="H1031" i="25"/>
  <c r="H1030" i="25"/>
  <c r="H998" i="25"/>
  <c r="H997" i="25"/>
  <c r="H996" i="25"/>
  <c r="H995" i="25"/>
  <c r="H994" i="25"/>
  <c r="H991" i="25"/>
  <c r="H990" i="25"/>
  <c r="H989" i="25"/>
  <c r="H988" i="25"/>
  <c r="H987" i="25"/>
  <c r="H986" i="25"/>
  <c r="H985" i="25"/>
  <c r="H984" i="25"/>
  <c r="H983" i="25"/>
  <c r="H982" i="25"/>
  <c r="H981" i="25"/>
  <c r="H980" i="25"/>
  <c r="H979" i="25"/>
  <c r="H978" i="25"/>
  <c r="H977" i="25"/>
  <c r="H976" i="25"/>
  <c r="H975" i="25"/>
  <c r="H974" i="25"/>
  <c r="H973" i="25"/>
  <c r="I973" i="25" s="1"/>
  <c r="H972" i="25"/>
  <c r="H971" i="25"/>
  <c r="H970" i="25"/>
  <c r="H969" i="25"/>
  <c r="H968" i="25"/>
  <c r="H967" i="25"/>
  <c r="I967" i="25" s="1"/>
  <c r="H966" i="25"/>
  <c r="H965" i="25"/>
  <c r="H964" i="25"/>
  <c r="H963" i="25"/>
  <c r="H962" i="25"/>
  <c r="M959" i="25"/>
  <c r="H944" i="25"/>
  <c r="H943" i="25"/>
  <c r="H942" i="25"/>
  <c r="H941" i="25"/>
  <c r="H940" i="25"/>
  <c r="H939" i="25"/>
  <c r="H938" i="25"/>
  <c r="H937" i="25"/>
  <c r="M936" i="25"/>
  <c r="H933" i="25"/>
  <c r="H932" i="25"/>
  <c r="H931" i="25"/>
  <c r="H929" i="25"/>
  <c r="H928" i="25"/>
  <c r="H927" i="25"/>
  <c r="H925" i="25"/>
  <c r="H924" i="25"/>
  <c r="H921" i="25"/>
  <c r="I921" i="25" s="1"/>
  <c r="H918" i="25"/>
  <c r="H917" i="25"/>
  <c r="H915" i="25"/>
  <c r="M912" i="25"/>
  <c r="H908" i="25"/>
  <c r="I909" i="25" s="1"/>
  <c r="H907" i="25"/>
  <c r="I908" i="25" s="1"/>
  <c r="H906" i="25"/>
  <c r="I907" i="25" s="1"/>
  <c r="H905" i="25"/>
  <c r="I906" i="25" s="1"/>
  <c r="H904" i="25"/>
  <c r="H900" i="25"/>
  <c r="H899" i="25"/>
  <c r="H898" i="25"/>
  <c r="H896" i="25"/>
  <c r="I897" i="25" s="1"/>
  <c r="M894" i="25"/>
  <c r="M893" i="25"/>
  <c r="K892" i="25"/>
  <c r="M892" i="25" s="1"/>
  <c r="K891" i="25"/>
  <c r="M891" i="25" s="1"/>
  <c r="M867" i="25"/>
  <c r="K865" i="25"/>
  <c r="M865" i="25" s="1"/>
  <c r="H864" i="25"/>
  <c r="H863" i="25"/>
  <c r="H862" i="25"/>
  <c r="F861" i="25"/>
  <c r="E861" i="25"/>
  <c r="H860" i="25"/>
  <c r="H856" i="25"/>
  <c r="H855" i="25"/>
  <c r="H854" i="25"/>
  <c r="H853" i="25"/>
  <c r="M848" i="25"/>
  <c r="M844" i="25"/>
  <c r="H844" i="25"/>
  <c r="I844" i="25" s="1"/>
  <c r="J844" i="25" s="1"/>
  <c r="M843" i="25"/>
  <c r="M842" i="25"/>
  <c r="M841" i="25"/>
  <c r="M840" i="25"/>
  <c r="M836" i="25"/>
  <c r="M835" i="25"/>
  <c r="M834" i="25"/>
  <c r="M833" i="25"/>
  <c r="H833" i="25"/>
  <c r="I833" i="25" s="1"/>
  <c r="H830" i="25"/>
  <c r="H829" i="25"/>
  <c r="I830" i="25" s="1"/>
  <c r="H828" i="25"/>
  <c r="H824" i="25"/>
  <c r="H823" i="25"/>
  <c r="H822" i="25"/>
  <c r="H821" i="25"/>
  <c r="I821" i="25" s="1"/>
  <c r="M819" i="25"/>
  <c r="H816" i="25"/>
  <c r="H815" i="25"/>
  <c r="H814" i="25"/>
  <c r="H812" i="25"/>
  <c r="H811" i="25"/>
  <c r="H810" i="25"/>
  <c r="H809" i="25"/>
  <c r="H803" i="25"/>
  <c r="H802" i="25"/>
  <c r="H801" i="25"/>
  <c r="H800" i="25"/>
  <c r="H795" i="25"/>
  <c r="M793" i="25"/>
  <c r="H790" i="25"/>
  <c r="I791" i="25" s="1"/>
  <c r="H789" i="25"/>
  <c r="H787" i="25"/>
  <c r="I788" i="25" s="1"/>
  <c r="H786" i="25"/>
  <c r="H772" i="25"/>
  <c r="H771" i="25"/>
  <c r="H770" i="25"/>
  <c r="H769" i="25"/>
  <c r="H768" i="25"/>
  <c r="H767" i="25"/>
  <c r="H766" i="25"/>
  <c r="I765" i="25"/>
  <c r="H757" i="25"/>
  <c r="I757" i="25" s="1"/>
  <c r="H754" i="25"/>
  <c r="H753" i="25"/>
  <c r="H752" i="25"/>
  <c r="H750" i="25"/>
  <c r="H749" i="25"/>
  <c r="H748" i="25"/>
  <c r="M745" i="25"/>
  <c r="H742" i="25"/>
  <c r="H741" i="25"/>
  <c r="H740" i="25"/>
  <c r="H739" i="25"/>
  <c r="H738" i="25"/>
  <c r="H737" i="25"/>
  <c r="G735" i="25"/>
  <c r="H735" i="25" s="1"/>
  <c r="G734" i="25"/>
  <c r="H734" i="25" s="1"/>
  <c r="H733" i="25"/>
  <c r="H688" i="25"/>
  <c r="H687" i="25"/>
  <c r="H682" i="25"/>
  <c r="H681" i="25"/>
  <c r="H679" i="25"/>
  <c r="H678" i="25"/>
  <c r="H677" i="25"/>
  <c r="G676" i="25"/>
  <c r="H676" i="25" s="1"/>
  <c r="G675" i="25"/>
  <c r="H675" i="25" s="1"/>
  <c r="H673" i="25"/>
  <c r="H672" i="25"/>
  <c r="H671" i="25"/>
  <c r="H670" i="25"/>
  <c r="H669" i="25"/>
  <c r="G667" i="25"/>
  <c r="H667" i="25" s="1"/>
  <c r="G666" i="25"/>
  <c r="H666" i="25" s="1"/>
  <c r="H664" i="25"/>
  <c r="H663" i="25"/>
  <c r="H662" i="25"/>
  <c r="H661" i="25"/>
  <c r="H660" i="25"/>
  <c r="H659" i="25"/>
  <c r="I658" i="25"/>
  <c r="H647" i="25"/>
  <c r="I647" i="25" s="1"/>
  <c r="H644" i="25"/>
  <c r="H642" i="25"/>
  <c r="H640" i="25"/>
  <c r="H639" i="25"/>
  <c r="H638" i="25"/>
  <c r="H637" i="25"/>
  <c r="M632" i="25"/>
  <c r="M630" i="25"/>
  <c r="H627" i="25"/>
  <c r="H626" i="25"/>
  <c r="H625" i="25"/>
  <c r="G624" i="25"/>
  <c r="H624" i="25" s="1"/>
  <c r="G623" i="25"/>
  <c r="H623" i="25" s="1"/>
  <c r="H622" i="25"/>
  <c r="H620" i="25"/>
  <c r="H619" i="25"/>
  <c r="H618" i="25"/>
  <c r="G617" i="25"/>
  <c r="H617" i="25" s="1"/>
  <c r="G616" i="25"/>
  <c r="H616" i="25" s="1"/>
  <c r="H615" i="25"/>
  <c r="H603" i="25"/>
  <c r="H602" i="25"/>
  <c r="H601" i="25"/>
  <c r="H600" i="25"/>
  <c r="G599" i="25"/>
  <c r="H599" i="25" s="1"/>
  <c r="G598" i="25"/>
  <c r="H598" i="25" s="1"/>
  <c r="H597" i="25"/>
  <c r="H595" i="25"/>
  <c r="H593" i="25"/>
  <c r="H590" i="25"/>
  <c r="H589" i="25"/>
  <c r="M587" i="25"/>
  <c r="M584" i="25"/>
  <c r="H581" i="25"/>
  <c r="H580" i="25"/>
  <c r="M579" i="25"/>
  <c r="H576" i="25"/>
  <c r="H575" i="25"/>
  <c r="H574" i="25"/>
  <c r="H573" i="25"/>
  <c r="H572" i="25"/>
  <c r="H558" i="25"/>
  <c r="H557" i="25"/>
  <c r="H556" i="25"/>
  <c r="H555" i="25"/>
  <c r="M550" i="25"/>
  <c r="H547" i="25"/>
  <c r="H546" i="25"/>
  <c r="H545" i="25"/>
  <c r="G544" i="25"/>
  <c r="E544" i="25"/>
  <c r="G543" i="25"/>
  <c r="E543" i="25"/>
  <c r="H542" i="25"/>
  <c r="H540" i="25"/>
  <c r="H539" i="25"/>
  <c r="H538" i="25"/>
  <c r="G537" i="25"/>
  <c r="H537" i="25" s="1"/>
  <c r="G536" i="25"/>
  <c r="E536" i="25"/>
  <c r="G535" i="25"/>
  <c r="E535" i="25"/>
  <c r="H534" i="25"/>
  <c r="I533" i="25"/>
  <c r="M438" i="25"/>
  <c r="H434" i="25"/>
  <c r="H433" i="25"/>
  <c r="H432" i="25"/>
  <c r="H430" i="25"/>
  <c r="I431" i="25" s="1"/>
  <c r="H429" i="25"/>
  <c r="H427" i="25"/>
  <c r="H426" i="25"/>
  <c r="H425" i="25"/>
  <c r="H422" i="25"/>
  <c r="M419" i="25"/>
  <c r="H419" i="25"/>
  <c r="M403" i="25"/>
  <c r="H403" i="25"/>
  <c r="M401" i="25"/>
  <c r="H401" i="25"/>
  <c r="I401" i="25" s="1"/>
  <c r="J401" i="25" s="1"/>
  <c r="O401" i="25" s="1"/>
  <c r="H400" i="25"/>
  <c r="H399" i="25"/>
  <c r="F398" i="25"/>
  <c r="E398" i="25"/>
  <c r="H397" i="25"/>
  <c r="H396" i="25"/>
  <c r="F395" i="25"/>
  <c r="E395" i="25"/>
  <c r="H394" i="25"/>
  <c r="H382" i="25"/>
  <c r="F381" i="25"/>
  <c r="E381" i="25"/>
  <c r="F380" i="25"/>
  <c r="E380" i="25"/>
  <c r="F379" i="25"/>
  <c r="E379" i="25"/>
  <c r="D379" i="25"/>
  <c r="F378" i="25"/>
  <c r="E378" i="25"/>
  <c r="H377" i="25"/>
  <c r="H375" i="25"/>
  <c r="H371" i="25"/>
  <c r="M365" i="25"/>
  <c r="M364" i="25"/>
  <c r="H362" i="25"/>
  <c r="E361" i="25"/>
  <c r="H361" i="25" s="1"/>
  <c r="E360" i="25"/>
  <c r="H360" i="25" s="1"/>
  <c r="G359" i="25"/>
  <c r="E359" i="25"/>
  <c r="G358" i="25"/>
  <c r="E358" i="25"/>
  <c r="G357" i="25"/>
  <c r="H357" i="25" s="1"/>
  <c r="E353" i="25"/>
  <c r="H353" i="25" s="1"/>
  <c r="E352" i="25"/>
  <c r="H352" i="25" s="1"/>
  <c r="E351" i="25"/>
  <c r="H351" i="25" s="1"/>
  <c r="E350" i="25"/>
  <c r="H350" i="25" s="1"/>
  <c r="E349" i="25"/>
  <c r="H349" i="25" s="1"/>
  <c r="E348" i="25"/>
  <c r="H348" i="25" s="1"/>
  <c r="G347" i="25"/>
  <c r="H347" i="25" s="1"/>
  <c r="E332" i="25"/>
  <c r="H332" i="25" s="1"/>
  <c r="E331" i="25"/>
  <c r="H331" i="25" s="1"/>
  <c r="E330" i="25"/>
  <c r="H330" i="25" s="1"/>
  <c r="E329" i="25"/>
  <c r="H329" i="25" s="1"/>
  <c r="E328" i="25"/>
  <c r="H328" i="25" s="1"/>
  <c r="E327" i="25"/>
  <c r="H327" i="25" s="1"/>
  <c r="E326" i="25"/>
  <c r="H326" i="25" s="1"/>
  <c r="G325" i="25"/>
  <c r="H325" i="25" s="1"/>
  <c r="H317" i="25"/>
  <c r="H310" i="25"/>
  <c r="H309" i="25"/>
  <c r="G304" i="25"/>
  <c r="H304" i="25" s="1"/>
  <c r="M301" i="25"/>
  <c r="M262" i="25"/>
  <c r="H261" i="25"/>
  <c r="M221" i="25"/>
  <c r="M201" i="25"/>
  <c r="M173" i="25"/>
  <c r="M149" i="25"/>
  <c r="E146" i="25"/>
  <c r="H146" i="25" s="1"/>
  <c r="E145" i="25"/>
  <c r="H145" i="25" s="1"/>
  <c r="H144" i="25"/>
  <c r="H143" i="25"/>
  <c r="E142" i="25"/>
  <c r="H142" i="25" s="1"/>
  <c r="E141" i="25"/>
  <c r="H141" i="25" s="1"/>
  <c r="H140" i="25"/>
  <c r="H135" i="25"/>
  <c r="H133" i="25"/>
  <c r="H132" i="25"/>
  <c r="H131" i="25"/>
  <c r="H128" i="25"/>
  <c r="M127" i="25"/>
  <c r="H119" i="25"/>
  <c r="I121" i="25" s="1"/>
  <c r="H116" i="25"/>
  <c r="I117" i="25" s="1"/>
  <c r="H107" i="25"/>
  <c r="I109" i="25" s="1"/>
  <c r="H102" i="25"/>
  <c r="G101" i="25"/>
  <c r="F101" i="25"/>
  <c r="M99" i="25"/>
  <c r="M61" i="25"/>
  <c r="M58" i="25"/>
  <c r="K56" i="25"/>
  <c r="M56" i="25" s="1"/>
  <c r="F53" i="25"/>
  <c r="E53" i="25"/>
  <c r="E52" i="25"/>
  <c r="H52" i="25" s="1"/>
  <c r="E51" i="25"/>
  <c r="H51" i="25" s="1"/>
  <c r="H50" i="25"/>
  <c r="H49" i="25"/>
  <c r="E48" i="25"/>
  <c r="H48" i="25" s="1"/>
  <c r="E47" i="25"/>
  <c r="H47" i="25" s="1"/>
  <c r="F46" i="25"/>
  <c r="E46" i="25"/>
  <c r="E45" i="25"/>
  <c r="H45" i="25" s="1"/>
  <c r="E44" i="25"/>
  <c r="H44" i="25" s="1"/>
  <c r="H43" i="25"/>
  <c r="H34" i="25"/>
  <c r="H31" i="25"/>
  <c r="F29" i="25"/>
  <c r="E29" i="25"/>
  <c r="H27" i="25"/>
  <c r="H26" i="25"/>
  <c r="H25" i="25"/>
  <c r="E22" i="25"/>
  <c r="M18" i="25"/>
  <c r="M16" i="25"/>
  <c r="M7" i="25"/>
  <c r="M5" i="25"/>
  <c r="H5" i="25"/>
  <c r="I5" i="25" s="1"/>
  <c r="J5" i="25" s="1"/>
  <c r="O5" i="25" s="1"/>
  <c r="H1395" i="24"/>
  <c r="I1396" i="24" s="1"/>
  <c r="E1366" i="24"/>
  <c r="H1366" i="24" s="1"/>
  <c r="H1393" i="24"/>
  <c r="I1394" i="24" s="1"/>
  <c r="H1392" i="24"/>
  <c r="I1393" i="24" s="1"/>
  <c r="H1391" i="24"/>
  <c r="I1392" i="24" s="1"/>
  <c r="H1390" i="24"/>
  <c r="I1391" i="24" s="1"/>
  <c r="H1389" i="24"/>
  <c r="H1387" i="24"/>
  <c r="H1386" i="24"/>
  <c r="H1385" i="24"/>
  <c r="D1384" i="24"/>
  <c r="H1384" i="24" s="1"/>
  <c r="I1384" i="24" s="1"/>
  <c r="H1382" i="24"/>
  <c r="H1381" i="24"/>
  <c r="H1380" i="24"/>
  <c r="I1381" i="24" s="1"/>
  <c r="H1379" i="24"/>
  <c r="H1377" i="24"/>
  <c r="H1376" i="24"/>
  <c r="H1375" i="24"/>
  <c r="H1374" i="24"/>
  <c r="H1372" i="24"/>
  <c r="I1372" i="24" s="1"/>
  <c r="H1370" i="24"/>
  <c r="H1369" i="24"/>
  <c r="H1368" i="24"/>
  <c r="I1368" i="24" s="1"/>
  <c r="H1359" i="24"/>
  <c r="H1360" i="24"/>
  <c r="H1361" i="24"/>
  <c r="H1362" i="24"/>
  <c r="H1363" i="24"/>
  <c r="E1341" i="24"/>
  <c r="H1341" i="24" s="1"/>
  <c r="H1358" i="24"/>
  <c r="H1357" i="24"/>
  <c r="H1356" i="24"/>
  <c r="H1355" i="24"/>
  <c r="H1354" i="24"/>
  <c r="H1351" i="24"/>
  <c r="H1350" i="24"/>
  <c r="H1349" i="24"/>
  <c r="H1346" i="24"/>
  <c r="H1345" i="24"/>
  <c r="H1344" i="24"/>
  <c r="H1343" i="24"/>
  <c r="H1004" i="24"/>
  <c r="I1004" i="24" s="1"/>
  <c r="J1004" i="24" s="1"/>
  <c r="O1004" i="24" s="1"/>
  <c r="I1005" i="24"/>
  <c r="M1004" i="24"/>
  <c r="G1338" i="24"/>
  <c r="H1338" i="24" s="1"/>
  <c r="G1337" i="24"/>
  <c r="H1337" i="24" s="1"/>
  <c r="H1336" i="24"/>
  <c r="G1333" i="24"/>
  <c r="H1333" i="24" s="1"/>
  <c r="G1332" i="24"/>
  <c r="H1332" i="24" s="1"/>
  <c r="H1331" i="24"/>
  <c r="D1323" i="24"/>
  <c r="H1323" i="24" s="1"/>
  <c r="D1320" i="24"/>
  <c r="H1320" i="24" s="1"/>
  <c r="D1319" i="24"/>
  <c r="H1319" i="24" s="1"/>
  <c r="H1321" i="24"/>
  <c r="H1322" i="24"/>
  <c r="H1325" i="24"/>
  <c r="H1326" i="24"/>
  <c r="H1318" i="24"/>
  <c r="E1283" i="24"/>
  <c r="H1283" i="24" s="1"/>
  <c r="H1305" i="24"/>
  <c r="H1315" i="24"/>
  <c r="I1316" i="24" s="1"/>
  <c r="H1314" i="24"/>
  <c r="H1312" i="24"/>
  <c r="I1313" i="24" s="1"/>
  <c r="H1311" i="24"/>
  <c r="H1309" i="24"/>
  <c r="H1308" i="24"/>
  <c r="H1307" i="24"/>
  <c r="H1306" i="24"/>
  <c r="H1304" i="24"/>
  <c r="H1303" i="24"/>
  <c r="H1302" i="24"/>
  <c r="I1301" i="24"/>
  <c r="H1299" i="24"/>
  <c r="H1298" i="24"/>
  <c r="E1297" i="24"/>
  <c r="H1297" i="24" s="1"/>
  <c r="H1296" i="24"/>
  <c r="H1295" i="24"/>
  <c r="H1294" i="24"/>
  <c r="H1293" i="24"/>
  <c r="I1293" i="24" s="1"/>
  <c r="H1291" i="24"/>
  <c r="H1290" i="24"/>
  <c r="E1289" i="24"/>
  <c r="H1289" i="24" s="1"/>
  <c r="H1288" i="24"/>
  <c r="H1287" i="24"/>
  <c r="H1286" i="24"/>
  <c r="H1279" i="24"/>
  <c r="H1278" i="24"/>
  <c r="H1277" i="24"/>
  <c r="H1276" i="24"/>
  <c r="H1275" i="24"/>
  <c r="H1274" i="24"/>
  <c r="H1271" i="24"/>
  <c r="H1270" i="24"/>
  <c r="H1269" i="24"/>
  <c r="H1268" i="24"/>
  <c r="H1266" i="24"/>
  <c r="H1265" i="24"/>
  <c r="H1263" i="24"/>
  <c r="H1262" i="24"/>
  <c r="H1261" i="24"/>
  <c r="G1260" i="24"/>
  <c r="H1260" i="24" s="1"/>
  <c r="G1259" i="24"/>
  <c r="H1259" i="24" s="1"/>
  <c r="H1257" i="24"/>
  <c r="H1256" i="24"/>
  <c r="H1255" i="24"/>
  <c r="H1254" i="24"/>
  <c r="H1253" i="24"/>
  <c r="H1251" i="24"/>
  <c r="H1250" i="24"/>
  <c r="H1249" i="24"/>
  <c r="H1248" i="24"/>
  <c r="H1247" i="24"/>
  <c r="H1245" i="24"/>
  <c r="H1244" i="24"/>
  <c r="H1243" i="24"/>
  <c r="H1242" i="24"/>
  <c r="H1241" i="24"/>
  <c r="H1240" i="24"/>
  <c r="I1239" i="24"/>
  <c r="H1237" i="24"/>
  <c r="H1236" i="24"/>
  <c r="H1235" i="24"/>
  <c r="H1234" i="24"/>
  <c r="H1233" i="24"/>
  <c r="H1232" i="24"/>
  <c r="H1231" i="24"/>
  <c r="H1230" i="24"/>
  <c r="H1229" i="24"/>
  <c r="H1228" i="24"/>
  <c r="H1227" i="24"/>
  <c r="I1227" i="24" s="1"/>
  <c r="H1224" i="24"/>
  <c r="H1223" i="24"/>
  <c r="H1222" i="24"/>
  <c r="H1220" i="24"/>
  <c r="H1219" i="24"/>
  <c r="H1218" i="24"/>
  <c r="H1217" i="24"/>
  <c r="H1216" i="24"/>
  <c r="H1215" i="24"/>
  <c r="H1210" i="24"/>
  <c r="E1209" i="24"/>
  <c r="H1209" i="24" s="1"/>
  <c r="H1208" i="24"/>
  <c r="E1207" i="24"/>
  <c r="H1207" i="24" s="1"/>
  <c r="E1206" i="24"/>
  <c r="H1206" i="24" s="1"/>
  <c r="E1205" i="24"/>
  <c r="H1205" i="24" s="1"/>
  <c r="H1204" i="24"/>
  <c r="E1203" i="24"/>
  <c r="H1203" i="24" s="1"/>
  <c r="H1202" i="24"/>
  <c r="E1201" i="24"/>
  <c r="H1201" i="24" s="1"/>
  <c r="H1200" i="24"/>
  <c r="E1199" i="24"/>
  <c r="H1199" i="24" s="1"/>
  <c r="H1198" i="24"/>
  <c r="E1197" i="24"/>
  <c r="H1197" i="24" s="1"/>
  <c r="H1211" i="24"/>
  <c r="H1196" i="24"/>
  <c r="H1195" i="24"/>
  <c r="H1181" i="24"/>
  <c r="I1181" i="24" s="1"/>
  <c r="J1180" i="24" s="1"/>
  <c r="O1180" i="24" s="1"/>
  <c r="H1179" i="24"/>
  <c r="I1179" i="24" s="1"/>
  <c r="J1178" i="24" s="1"/>
  <c r="O1178" i="24" s="1"/>
  <c r="H1177" i="24"/>
  <c r="I1177" i="24" s="1"/>
  <c r="J1176" i="24" s="1"/>
  <c r="H1175" i="24"/>
  <c r="I1175" i="24" s="1"/>
  <c r="J1174" i="24" s="1"/>
  <c r="H1173" i="24"/>
  <c r="I1173" i="24" s="1"/>
  <c r="J1172" i="24" s="1"/>
  <c r="H1171" i="24"/>
  <c r="I1171" i="24" s="1"/>
  <c r="J1170" i="24" s="1"/>
  <c r="O1170" i="24" s="1"/>
  <c r="H1169" i="24"/>
  <c r="I1169" i="24" s="1"/>
  <c r="J1168" i="24" s="1"/>
  <c r="O1168" i="24" s="1"/>
  <c r="H1166" i="24"/>
  <c r="I1166" i="24" s="1"/>
  <c r="H1165" i="24"/>
  <c r="I1165" i="24" s="1"/>
  <c r="H1163" i="24"/>
  <c r="I1163" i="24" s="1"/>
  <c r="J1162" i="24" s="1"/>
  <c r="O1162" i="24" s="1"/>
  <c r="H1161" i="24"/>
  <c r="I1161" i="24" s="1"/>
  <c r="J1160" i="24" s="1"/>
  <c r="H1159" i="24"/>
  <c r="I1159" i="24" s="1"/>
  <c r="H1158" i="24"/>
  <c r="I1158" i="24" s="1"/>
  <c r="E1156" i="24"/>
  <c r="H1156" i="24" s="1"/>
  <c r="I1156" i="24" s="1"/>
  <c r="E1155" i="24"/>
  <c r="H1155" i="24" s="1"/>
  <c r="I1155" i="24" s="1"/>
  <c r="E1154" i="24"/>
  <c r="H1154" i="24" s="1"/>
  <c r="I1154" i="24" s="1"/>
  <c r="E1153" i="24"/>
  <c r="H1153" i="24" s="1"/>
  <c r="I1153" i="24" s="1"/>
  <c r="D1150" i="24"/>
  <c r="H1150" i="24" s="1"/>
  <c r="I1150" i="24" s="1"/>
  <c r="H1149" i="24"/>
  <c r="I1149" i="24" s="1"/>
  <c r="M1147" i="24"/>
  <c r="H1147" i="24"/>
  <c r="I1147" i="24" s="1"/>
  <c r="J1147" i="24" s="1"/>
  <c r="E1139" i="24"/>
  <c r="H1139" i="24" s="1"/>
  <c r="I1139" i="24" s="1"/>
  <c r="H1140" i="24"/>
  <c r="I1140" i="24" s="1"/>
  <c r="H1129" i="24"/>
  <c r="I1129" i="24" s="1"/>
  <c r="J1128" i="24" s="1"/>
  <c r="O1128" i="24" s="1"/>
  <c r="H1127" i="24"/>
  <c r="I1127" i="24" s="1"/>
  <c r="J1126" i="24" s="1"/>
  <c r="H1124" i="24"/>
  <c r="I1124" i="24" s="1"/>
  <c r="H1123" i="24"/>
  <c r="I1123" i="24" s="1"/>
  <c r="H1122" i="24"/>
  <c r="I1122" i="24" s="1"/>
  <c r="H1121" i="24"/>
  <c r="I1121" i="24" s="1"/>
  <c r="D1116" i="24"/>
  <c r="H1116" i="24" s="1"/>
  <c r="I1116" i="24" s="1"/>
  <c r="H1119" i="24"/>
  <c r="I1119" i="24" s="1"/>
  <c r="H1118" i="24"/>
  <c r="I1118" i="24" s="1"/>
  <c r="H1117" i="24"/>
  <c r="I1117" i="24" s="1"/>
  <c r="H1114" i="24"/>
  <c r="I1114" i="24" s="1"/>
  <c r="H1113" i="24"/>
  <c r="I1113" i="24" s="1"/>
  <c r="H1112" i="24"/>
  <c r="I1112" i="24" s="1"/>
  <c r="H1111" i="24"/>
  <c r="I1111" i="24" s="1"/>
  <c r="H1109" i="24"/>
  <c r="I1109" i="24" s="1"/>
  <c r="H1108" i="24"/>
  <c r="I1108" i="24" s="1"/>
  <c r="H1107" i="24"/>
  <c r="I1107" i="24" s="1"/>
  <c r="H1106" i="24"/>
  <c r="I1106" i="24" s="1"/>
  <c r="D1075" i="24"/>
  <c r="H1075" i="24" s="1"/>
  <c r="I1075" i="24" s="1"/>
  <c r="H1102" i="24"/>
  <c r="I1102" i="24" s="1"/>
  <c r="H1101" i="24"/>
  <c r="I1101" i="24" s="1"/>
  <c r="H1100" i="24"/>
  <c r="I1100" i="24" s="1"/>
  <c r="H1099" i="24"/>
  <c r="I1099" i="24" s="1"/>
  <c r="H1096" i="24"/>
  <c r="I1096" i="24" s="1"/>
  <c r="H1095" i="24"/>
  <c r="I1095" i="24" s="1"/>
  <c r="H1094" i="24"/>
  <c r="I1094" i="24" s="1"/>
  <c r="H1093" i="24"/>
  <c r="I1093" i="24" s="1"/>
  <c r="H1090" i="24"/>
  <c r="I1090" i="24" s="1"/>
  <c r="H1089" i="24"/>
  <c r="I1089" i="24" s="1"/>
  <c r="H1088" i="24"/>
  <c r="I1088" i="24" s="1"/>
  <c r="H1087" i="24"/>
  <c r="I1087" i="24" s="1"/>
  <c r="H1084" i="24"/>
  <c r="I1084" i="24" s="1"/>
  <c r="H1083" i="24"/>
  <c r="I1083" i="24" s="1"/>
  <c r="H1082" i="24"/>
  <c r="I1082" i="24" s="1"/>
  <c r="H1081" i="24"/>
  <c r="I1081" i="24" s="1"/>
  <c r="H1078" i="24"/>
  <c r="I1078" i="24" s="1"/>
  <c r="H1077" i="24"/>
  <c r="I1077" i="24" s="1"/>
  <c r="H1076" i="24"/>
  <c r="I1076" i="24" s="1"/>
  <c r="D1068" i="24"/>
  <c r="H1068" i="24" s="1"/>
  <c r="I1068" i="24" s="1"/>
  <c r="H1071" i="24"/>
  <c r="I1071" i="24" s="1"/>
  <c r="H1070" i="24"/>
  <c r="I1070" i="24" s="1"/>
  <c r="H1069" i="24"/>
  <c r="I1069" i="24" s="1"/>
  <c r="H1066" i="24"/>
  <c r="I1066" i="24" s="1"/>
  <c r="H1065" i="24"/>
  <c r="I1065" i="24" s="1"/>
  <c r="H1064" i="24"/>
  <c r="I1064" i="24" s="1"/>
  <c r="H1063" i="24"/>
  <c r="I1063" i="24" s="1"/>
  <c r="H1061" i="24"/>
  <c r="I1061" i="24" s="1"/>
  <c r="H1060" i="24"/>
  <c r="I1060" i="24" s="1"/>
  <c r="H1059" i="24"/>
  <c r="I1059" i="24" s="1"/>
  <c r="H1058" i="24"/>
  <c r="I1058" i="24" s="1"/>
  <c r="H1056" i="24"/>
  <c r="I1056" i="24" s="1"/>
  <c r="H1055" i="24"/>
  <c r="I1055" i="24" s="1"/>
  <c r="H1054" i="24"/>
  <c r="I1054" i="24" s="1"/>
  <c r="H1053" i="24"/>
  <c r="I1053" i="24" s="1"/>
  <c r="H1051" i="24"/>
  <c r="I1051" i="24" s="1"/>
  <c r="H1050" i="24"/>
  <c r="I1050" i="24" s="1"/>
  <c r="H1049" i="24"/>
  <c r="I1049" i="24" s="1"/>
  <c r="H1048" i="24"/>
  <c r="I1048" i="24" s="1"/>
  <c r="H1043" i="24"/>
  <c r="I1043" i="24" s="1"/>
  <c r="H1042" i="24"/>
  <c r="I1042" i="24" s="1"/>
  <c r="H1039" i="24"/>
  <c r="I1039" i="24" s="1"/>
  <c r="H1038" i="24"/>
  <c r="I1038" i="24" s="1"/>
  <c r="H1027" i="24"/>
  <c r="I1027" i="24" s="1"/>
  <c r="J1026" i="24" s="1"/>
  <c r="O1026" i="24" s="1"/>
  <c r="E1021" i="24"/>
  <c r="H1021" i="24" s="1"/>
  <c r="I1021" i="24" s="1"/>
  <c r="E1023" i="24"/>
  <c r="H1023" i="24" s="1"/>
  <c r="I1023" i="24" s="1"/>
  <c r="H1024" i="24"/>
  <c r="I1024" i="24" s="1"/>
  <c r="H1022" i="24"/>
  <c r="I1022" i="24" s="1"/>
  <c r="H1020" i="24"/>
  <c r="H1032" i="24"/>
  <c r="I1032" i="24" s="1"/>
  <c r="H1035" i="24"/>
  <c r="I1035" i="24" s="1"/>
  <c r="H1034" i="24"/>
  <c r="I1034" i="24" s="1"/>
  <c r="H1033" i="24"/>
  <c r="I1033" i="24" s="1"/>
  <c r="H1400" i="24"/>
  <c r="I1400" i="24" s="1"/>
  <c r="J1400" i="24" s="1"/>
  <c r="O1400" i="24" s="1"/>
  <c r="H1190" i="24"/>
  <c r="I1190" i="24" s="1"/>
  <c r="J1190" i="24" s="1"/>
  <c r="O1190" i="24" s="1"/>
  <c r="H1189" i="24"/>
  <c r="I1189" i="24" s="1"/>
  <c r="J1189" i="24" s="1"/>
  <c r="O1189" i="24" s="1"/>
  <c r="H1187" i="24"/>
  <c r="I1187" i="24" s="1"/>
  <c r="J1187" i="24" s="1"/>
  <c r="O1187" i="24" s="1"/>
  <c r="H1186" i="24"/>
  <c r="I1186" i="24" s="1"/>
  <c r="J1186" i="24" s="1"/>
  <c r="O1186" i="24" s="1"/>
  <c r="H1185" i="24"/>
  <c r="I1185" i="24" s="1"/>
  <c r="J1185" i="24" s="1"/>
  <c r="O1185" i="24" s="1"/>
  <c r="H1184" i="24"/>
  <c r="I1184" i="24" s="1"/>
  <c r="H1183" i="24"/>
  <c r="I1183" i="24" s="1"/>
  <c r="H1180" i="24"/>
  <c r="I1180" i="24" s="1"/>
  <c r="H1178" i="24"/>
  <c r="I1178" i="24" s="1"/>
  <c r="H1176" i="24"/>
  <c r="I1176" i="24" s="1"/>
  <c r="H1174" i="24"/>
  <c r="I1174" i="24" s="1"/>
  <c r="H1172" i="24"/>
  <c r="I1172" i="24" s="1"/>
  <c r="H1170" i="24"/>
  <c r="I1170" i="24" s="1"/>
  <c r="H1168" i="24"/>
  <c r="I1168" i="24" s="1"/>
  <c r="H1164" i="24"/>
  <c r="I1164" i="24" s="1"/>
  <c r="H1162" i="24"/>
  <c r="I1162" i="24" s="1"/>
  <c r="H1160" i="24"/>
  <c r="I1160" i="24" s="1"/>
  <c r="H1157" i="24"/>
  <c r="I1157" i="24" s="1"/>
  <c r="H1152" i="24"/>
  <c r="I1152" i="24" s="1"/>
  <c r="H1151" i="24"/>
  <c r="I1151" i="24" s="1"/>
  <c r="J1151" i="24" s="1"/>
  <c r="H1148" i="24"/>
  <c r="I1148" i="24" s="1"/>
  <c r="H1146" i="24"/>
  <c r="I1146" i="24" s="1"/>
  <c r="J1146" i="24" s="1"/>
  <c r="O1146" i="24" s="1"/>
  <c r="H1145" i="24"/>
  <c r="I1145" i="24" s="1"/>
  <c r="J1145" i="24" s="1"/>
  <c r="O1145" i="24" s="1"/>
  <c r="H1142" i="24"/>
  <c r="I1142" i="24" s="1"/>
  <c r="J1142" i="24" s="1"/>
  <c r="H1141" i="24"/>
  <c r="I1141" i="24" s="1"/>
  <c r="J1141" i="24" s="1"/>
  <c r="H1138" i="24"/>
  <c r="I1138" i="24" s="1"/>
  <c r="H1137" i="24"/>
  <c r="I1137" i="24" s="1"/>
  <c r="J1137" i="24" s="1"/>
  <c r="H1136" i="24"/>
  <c r="I1136" i="24" s="1"/>
  <c r="J1136" i="24" s="1"/>
  <c r="H1132" i="24"/>
  <c r="I1132" i="24" s="1"/>
  <c r="J1132" i="24" s="1"/>
  <c r="H1115" i="24"/>
  <c r="I1115" i="24" s="1"/>
  <c r="H1098" i="24"/>
  <c r="I1098" i="24" s="1"/>
  <c r="H1092" i="24"/>
  <c r="I1092" i="24" s="1"/>
  <c r="H1086" i="24"/>
  <c r="I1086" i="24" s="1"/>
  <c r="H1080" i="24"/>
  <c r="I1080" i="24" s="1"/>
  <c r="H1074" i="24"/>
  <c r="I1074" i="24" s="1"/>
  <c r="H1067" i="24"/>
  <c r="I1067" i="24" s="1"/>
  <c r="H1062" i="24"/>
  <c r="I1062" i="24" s="1"/>
  <c r="H1057" i="24"/>
  <c r="I1057" i="24" s="1"/>
  <c r="H1052" i="24"/>
  <c r="I1052" i="24" s="1"/>
  <c r="H1047" i="24"/>
  <c r="I1047" i="24" s="1"/>
  <c r="H1045" i="24"/>
  <c r="I1045" i="24" s="1"/>
  <c r="J1045" i="24" s="1"/>
  <c r="I1041" i="24"/>
  <c r="H1037" i="24"/>
  <c r="I1037" i="24" s="1"/>
  <c r="H1029" i="24"/>
  <c r="I1029" i="24" s="1"/>
  <c r="J1029" i="24" s="1"/>
  <c r="O1029" i="24" s="1"/>
  <c r="H1026" i="24"/>
  <c r="H1019" i="24"/>
  <c r="I1019" i="24" s="1"/>
  <c r="J1019" i="24" s="1"/>
  <c r="O1019" i="24" s="1"/>
  <c r="H1017" i="24"/>
  <c r="I1017" i="24" s="1"/>
  <c r="J1017" i="24" s="1"/>
  <c r="O1017" i="24" s="1"/>
  <c r="H1016" i="24"/>
  <c r="I1016" i="24" s="1"/>
  <c r="J1016" i="24" s="1"/>
  <c r="O1016" i="24" s="1"/>
  <c r="H1015" i="24"/>
  <c r="I1015" i="24" s="1"/>
  <c r="J1015" i="24" s="1"/>
  <c r="H1014" i="24"/>
  <c r="H1013" i="24"/>
  <c r="I1013" i="24" s="1"/>
  <c r="J1013" i="24" s="1"/>
  <c r="H1008" i="24"/>
  <c r="I1008" i="24" s="1"/>
  <c r="J1008" i="24" s="1"/>
  <c r="H1007" i="24"/>
  <c r="I1007" i="24" s="1"/>
  <c r="J1007" i="24" s="1"/>
  <c r="H1006" i="24"/>
  <c r="I1006" i="24" s="1"/>
  <c r="H1001" i="24"/>
  <c r="H636" i="24"/>
  <c r="I636" i="24" s="1"/>
  <c r="J636" i="24" s="1"/>
  <c r="M636" i="24"/>
  <c r="H1000" i="24"/>
  <c r="H999" i="24"/>
  <c r="E996" i="24"/>
  <c r="H996" i="24" s="1"/>
  <c r="I996" i="24" s="1"/>
  <c r="E994" i="24"/>
  <c r="H995" i="24"/>
  <c r="D994" i="24"/>
  <c r="H985" i="24"/>
  <c r="I986" i="24" s="1"/>
  <c r="H984" i="24"/>
  <c r="I985" i="24" s="1"/>
  <c r="H983" i="24"/>
  <c r="I984" i="24" s="1"/>
  <c r="H982" i="24"/>
  <c r="I983" i="24" s="1"/>
  <c r="H981" i="24"/>
  <c r="H979" i="24"/>
  <c r="H978" i="24"/>
  <c r="H977" i="24"/>
  <c r="D976" i="24"/>
  <c r="H976" i="24" s="1"/>
  <c r="I976" i="24" s="1"/>
  <c r="H966" i="24"/>
  <c r="H970" i="24"/>
  <c r="I971" i="24" s="1"/>
  <c r="H969" i="24"/>
  <c r="I970" i="24" s="1"/>
  <c r="H968" i="24"/>
  <c r="H965" i="24"/>
  <c r="H964" i="24"/>
  <c r="H961" i="24"/>
  <c r="I961" i="24" s="1"/>
  <c r="J959" i="24" s="1"/>
  <c r="O959" i="24" s="1"/>
  <c r="M959" i="24"/>
  <c r="H959" i="24"/>
  <c r="H988" i="24"/>
  <c r="I988" i="24" s="1"/>
  <c r="H974" i="24"/>
  <c r="H963" i="24"/>
  <c r="H958" i="24"/>
  <c r="H957" i="24"/>
  <c r="I957" i="24" s="1"/>
  <c r="J956" i="24" s="1"/>
  <c r="H952" i="24"/>
  <c r="I952" i="24" s="1"/>
  <c r="J950" i="24" s="1"/>
  <c r="O950" i="24" s="1"/>
  <c r="H941" i="24"/>
  <c r="D938" i="24"/>
  <c r="H938" i="24" s="1"/>
  <c r="I938" i="24" s="1"/>
  <c r="H940" i="24"/>
  <c r="H947" i="24"/>
  <c r="I948" i="24" s="1"/>
  <c r="H946" i="24"/>
  <c r="I947" i="24" s="1"/>
  <c r="H945" i="24"/>
  <c r="I946" i="24" s="1"/>
  <c r="H944" i="24"/>
  <c r="I945" i="24" s="1"/>
  <c r="H943" i="24"/>
  <c r="H939" i="24"/>
  <c r="H951" i="24"/>
  <c r="H927" i="24"/>
  <c r="H928" i="24"/>
  <c r="H929" i="24"/>
  <c r="I929" i="24" s="1"/>
  <c r="H930" i="24"/>
  <c r="H931" i="24"/>
  <c r="H926" i="24"/>
  <c r="H922" i="24"/>
  <c r="I923" i="24" s="1"/>
  <c r="H921" i="24"/>
  <c r="I922" i="24" s="1"/>
  <c r="H920" i="24"/>
  <c r="I921" i="24" s="1"/>
  <c r="H919" i="24"/>
  <c r="I920" i="24" s="1"/>
  <c r="H918" i="24"/>
  <c r="H917" i="24"/>
  <c r="H916" i="24"/>
  <c r="H914" i="24"/>
  <c r="I914" i="24" s="1"/>
  <c r="H903" i="24"/>
  <c r="H904" i="24"/>
  <c r="H910" i="24"/>
  <c r="H909" i="24"/>
  <c r="I910" i="24" s="1"/>
  <c r="H908" i="24"/>
  <c r="I909" i="24" s="1"/>
  <c r="H907" i="24"/>
  <c r="I908" i="24" s="1"/>
  <c r="H906" i="24"/>
  <c r="H905" i="24"/>
  <c r="H902" i="24"/>
  <c r="H901" i="24"/>
  <c r="H899" i="24"/>
  <c r="I899" i="24" s="1"/>
  <c r="E705" i="24"/>
  <c r="H705" i="24" s="1"/>
  <c r="H704" i="24"/>
  <c r="E699" i="24"/>
  <c r="H699" i="24" s="1"/>
  <c r="H698" i="24"/>
  <c r="E446" i="24"/>
  <c r="H446" i="24" s="1"/>
  <c r="E889" i="24"/>
  <c r="H889" i="24" s="1"/>
  <c r="H887" i="24"/>
  <c r="H888" i="24"/>
  <c r="E882" i="24"/>
  <c r="H882" i="24" s="1"/>
  <c r="H883" i="24"/>
  <c r="E880" i="24"/>
  <c r="H880" i="24" s="1"/>
  <c r="H881" i="24"/>
  <c r="E879" i="24"/>
  <c r="H879" i="24" s="1"/>
  <c r="E878" i="24"/>
  <c r="H878" i="24" s="1"/>
  <c r="E876" i="24"/>
  <c r="H876" i="24" s="1"/>
  <c r="H877" i="24"/>
  <c r="E874" i="24"/>
  <c r="H874" i="24" s="1"/>
  <c r="H875" i="24"/>
  <c r="E872" i="24"/>
  <c r="H872" i="24" s="1"/>
  <c r="H868" i="24"/>
  <c r="H869" i="24"/>
  <c r="H871" i="24"/>
  <c r="H873" i="24"/>
  <c r="H884" i="24"/>
  <c r="E870" i="24"/>
  <c r="H870" i="24" s="1"/>
  <c r="E867" i="24"/>
  <c r="H867" i="24" s="1"/>
  <c r="E863" i="24"/>
  <c r="H863" i="24" s="1"/>
  <c r="E859" i="24"/>
  <c r="H859" i="24" s="1"/>
  <c r="E855" i="24"/>
  <c r="H855" i="24" s="1"/>
  <c r="H866" i="24"/>
  <c r="H864" i="24"/>
  <c r="H862" i="24"/>
  <c r="H861" i="24"/>
  <c r="H860" i="24"/>
  <c r="H858" i="24"/>
  <c r="H857" i="24"/>
  <c r="H856" i="24"/>
  <c r="H854" i="24"/>
  <c r="H849" i="24"/>
  <c r="H848" i="24"/>
  <c r="H847" i="24"/>
  <c r="H846" i="24"/>
  <c r="H845" i="24"/>
  <c r="H844" i="24"/>
  <c r="H834" i="24"/>
  <c r="H833" i="24"/>
  <c r="H832" i="24"/>
  <c r="H831" i="24"/>
  <c r="H828" i="24"/>
  <c r="D830" i="24"/>
  <c r="H830" i="24" s="1"/>
  <c r="D829" i="24"/>
  <c r="H829" i="24" s="1"/>
  <c r="H820" i="24"/>
  <c r="H819" i="24"/>
  <c r="H818" i="24"/>
  <c r="H836" i="24"/>
  <c r="H827" i="24"/>
  <c r="H826" i="24"/>
  <c r="H823" i="24"/>
  <c r="H822" i="24"/>
  <c r="H817" i="24"/>
  <c r="H816" i="24"/>
  <c r="H815" i="24"/>
  <c r="I814" i="24"/>
  <c r="H808" i="24"/>
  <c r="H807" i="24"/>
  <c r="H803" i="24"/>
  <c r="H802" i="24"/>
  <c r="H801" i="24"/>
  <c r="H800" i="24"/>
  <c r="E799" i="24"/>
  <c r="H799" i="24" s="1"/>
  <c r="H798" i="24"/>
  <c r="H797" i="24"/>
  <c r="H796" i="24"/>
  <c r="H793" i="24"/>
  <c r="H792" i="24"/>
  <c r="H784" i="24"/>
  <c r="H785" i="24"/>
  <c r="H786" i="24"/>
  <c r="H787" i="24"/>
  <c r="H788" i="24"/>
  <c r="H789" i="24"/>
  <c r="H794" i="24"/>
  <c r="H795" i="24"/>
  <c r="I795" i="24" s="1"/>
  <c r="D791" i="24"/>
  <c r="H791" i="24" s="1"/>
  <c r="E790" i="24"/>
  <c r="H790" i="24" s="1"/>
  <c r="H731" i="24"/>
  <c r="H732" i="24"/>
  <c r="H733" i="24"/>
  <c r="H734" i="24"/>
  <c r="H735" i="24"/>
  <c r="I735" i="24" s="1"/>
  <c r="H736" i="24"/>
  <c r="H737" i="24"/>
  <c r="H738" i="24"/>
  <c r="H739" i="24"/>
  <c r="H740" i="24"/>
  <c r="H741" i="24"/>
  <c r="H742" i="24"/>
  <c r="I742" i="24" s="1"/>
  <c r="H743" i="24"/>
  <c r="H744" i="24"/>
  <c r="H745" i="24"/>
  <c r="H746" i="24"/>
  <c r="H747" i="24"/>
  <c r="H748" i="24"/>
  <c r="H749" i="24"/>
  <c r="H750" i="24"/>
  <c r="H751" i="24"/>
  <c r="H752" i="24"/>
  <c r="H753" i="24"/>
  <c r="H754" i="24"/>
  <c r="H755" i="24"/>
  <c r="H756" i="24"/>
  <c r="H757" i="24"/>
  <c r="H758" i="24"/>
  <c r="H759" i="24"/>
  <c r="H760" i="24"/>
  <c r="H761" i="24"/>
  <c r="H762" i="24"/>
  <c r="H763" i="24"/>
  <c r="H764" i="24"/>
  <c r="H765" i="24"/>
  <c r="H766" i="24"/>
  <c r="H767" i="24"/>
  <c r="H768" i="24"/>
  <c r="H769" i="24"/>
  <c r="H770" i="24"/>
  <c r="H771" i="24"/>
  <c r="H772" i="24"/>
  <c r="H773" i="24"/>
  <c r="H774" i="24"/>
  <c r="I774" i="24" s="1"/>
  <c r="H775" i="24"/>
  <c r="H776" i="24"/>
  <c r="I780" i="24" s="1"/>
  <c r="H777" i="24"/>
  <c r="H778" i="24"/>
  <c r="H779" i="24"/>
  <c r="H730" i="24"/>
  <c r="H713" i="24"/>
  <c r="H709" i="24"/>
  <c r="H724" i="24"/>
  <c r="H723" i="24"/>
  <c r="H722" i="24"/>
  <c r="H721" i="24"/>
  <c r="H720" i="24"/>
  <c r="H719" i="24"/>
  <c r="H718" i="24"/>
  <c r="H717" i="24"/>
  <c r="H712" i="24"/>
  <c r="H711" i="24"/>
  <c r="H708" i="24"/>
  <c r="H707" i="24"/>
  <c r="H703" i="24"/>
  <c r="H702" i="24"/>
  <c r="H701" i="24"/>
  <c r="I701" i="24" s="1"/>
  <c r="H697" i="24"/>
  <c r="H696" i="24"/>
  <c r="H682" i="24"/>
  <c r="H683" i="24"/>
  <c r="H684" i="24"/>
  <c r="H685" i="24"/>
  <c r="H686" i="24"/>
  <c r="I687" i="24" s="1"/>
  <c r="H687" i="24"/>
  <c r="I688" i="24" s="1"/>
  <c r="H688" i="24"/>
  <c r="I689" i="24" s="1"/>
  <c r="H689" i="24"/>
  <c r="I690" i="24" s="1"/>
  <c r="H681" i="24"/>
  <c r="I681" i="24" s="1"/>
  <c r="K677" i="24"/>
  <c r="M677" i="24" s="1"/>
  <c r="K676" i="24"/>
  <c r="M676" i="24" s="1"/>
  <c r="H675" i="24"/>
  <c r="H674" i="24"/>
  <c r="H673" i="24"/>
  <c r="H671" i="24"/>
  <c r="H670" i="24"/>
  <c r="H669" i="24"/>
  <c r="H668" i="24"/>
  <c r="H667" i="24"/>
  <c r="H666" i="24"/>
  <c r="H665" i="24"/>
  <c r="H664" i="24"/>
  <c r="H663" i="24"/>
  <c r="H662" i="24"/>
  <c r="H661" i="24"/>
  <c r="K657" i="24"/>
  <c r="M657" i="24" s="1"/>
  <c r="H628" i="24"/>
  <c r="I628" i="24" s="1"/>
  <c r="H625" i="24"/>
  <c r="H624" i="24"/>
  <c r="I625" i="24" s="1"/>
  <c r="H623" i="24"/>
  <c r="H622" i="24"/>
  <c r="H621" i="24"/>
  <c r="H620" i="24"/>
  <c r="H619" i="24"/>
  <c r="H612" i="24"/>
  <c r="H613" i="24"/>
  <c r="E601" i="24"/>
  <c r="H601" i="24" s="1"/>
  <c r="H656" i="24"/>
  <c r="H655" i="24"/>
  <c r="H654" i="24"/>
  <c r="F653" i="24"/>
  <c r="E653" i="24"/>
  <c r="H652" i="24"/>
  <c r="H651" i="24"/>
  <c r="H650" i="24"/>
  <c r="H649" i="24"/>
  <c r="E648" i="24"/>
  <c r="H648" i="24" s="1"/>
  <c r="F647" i="24"/>
  <c r="H647" i="24" s="1"/>
  <c r="H646" i="24"/>
  <c r="H645" i="24"/>
  <c r="H644" i="24"/>
  <c r="E643" i="24"/>
  <c r="H643" i="24" s="1"/>
  <c r="F642" i="24"/>
  <c r="E642" i="24"/>
  <c r="H606" i="24"/>
  <c r="H607" i="24"/>
  <c r="H609" i="24"/>
  <c r="H610" i="24"/>
  <c r="H614" i="24"/>
  <c r="H603" i="24"/>
  <c r="H602" i="24"/>
  <c r="H605" i="24"/>
  <c r="H604" i="24"/>
  <c r="H600" i="24"/>
  <c r="M5" i="24"/>
  <c r="H5" i="24"/>
  <c r="I5" i="24" s="1"/>
  <c r="J5" i="24" s="1"/>
  <c r="O5" i="24" s="1"/>
  <c r="H579" i="24"/>
  <c r="H578" i="24"/>
  <c r="E577" i="24"/>
  <c r="H577" i="24" s="1"/>
  <c r="H576" i="24"/>
  <c r="H575" i="24"/>
  <c r="H574" i="24"/>
  <c r="H571" i="24"/>
  <c r="E569" i="24"/>
  <c r="H569" i="24" s="1"/>
  <c r="H595" i="24"/>
  <c r="H594" i="24"/>
  <c r="H592" i="24"/>
  <c r="H591" i="24"/>
  <c r="H589" i="24"/>
  <c r="H588" i="24"/>
  <c r="H587" i="24"/>
  <c r="H586" i="24"/>
  <c r="H585" i="24"/>
  <c r="H584" i="24"/>
  <c r="H583" i="24"/>
  <c r="H582" i="24"/>
  <c r="I581" i="24"/>
  <c r="H573" i="24"/>
  <c r="I573" i="24" s="1"/>
  <c r="H570" i="24"/>
  <c r="H568" i="24"/>
  <c r="H567" i="24"/>
  <c r="H566" i="24"/>
  <c r="G553" i="24"/>
  <c r="G552" i="24"/>
  <c r="H503" i="24"/>
  <c r="H504" i="24"/>
  <c r="H505" i="24"/>
  <c r="H506" i="24"/>
  <c r="H507" i="24"/>
  <c r="H508" i="24"/>
  <c r="H509" i="24"/>
  <c r="H510" i="24"/>
  <c r="H511" i="24"/>
  <c r="H548" i="24"/>
  <c r="H546" i="24"/>
  <c r="H547" i="24"/>
  <c r="H543" i="24"/>
  <c r="G528" i="24"/>
  <c r="H528" i="24" s="1"/>
  <c r="G527" i="24"/>
  <c r="H502" i="24"/>
  <c r="H498" i="24"/>
  <c r="H497" i="24"/>
  <c r="H496" i="24"/>
  <c r="H560" i="24"/>
  <c r="H559" i="24"/>
  <c r="H558" i="24"/>
  <c r="H555" i="24"/>
  <c r="H551" i="24"/>
  <c r="H545" i="24"/>
  <c r="H542" i="24"/>
  <c r="H540" i="24"/>
  <c r="H539" i="24"/>
  <c r="H538" i="24"/>
  <c r="G537" i="24"/>
  <c r="H537" i="24" s="1"/>
  <c r="G536" i="24"/>
  <c r="H536" i="24" s="1"/>
  <c r="H534" i="24"/>
  <c r="H533" i="24"/>
  <c r="H532" i="24"/>
  <c r="H531" i="24"/>
  <c r="H530" i="24"/>
  <c r="H525" i="24"/>
  <c r="H524" i="24"/>
  <c r="H523" i="24"/>
  <c r="H522" i="24"/>
  <c r="H521" i="24"/>
  <c r="H519" i="24"/>
  <c r="H518" i="24"/>
  <c r="H517" i="24"/>
  <c r="H516" i="24"/>
  <c r="H515" i="24"/>
  <c r="H514" i="24"/>
  <c r="I513" i="24"/>
  <c r="H501" i="24"/>
  <c r="I501" i="24" s="1"/>
  <c r="H494" i="24"/>
  <c r="H493" i="24"/>
  <c r="H492" i="24"/>
  <c r="H491" i="24"/>
  <c r="H490" i="24"/>
  <c r="H489" i="24"/>
  <c r="H481" i="24"/>
  <c r="H480" i="24"/>
  <c r="H479" i="24"/>
  <c r="G478" i="24"/>
  <c r="H478" i="24" s="1"/>
  <c r="G477" i="24"/>
  <c r="H477" i="24" s="1"/>
  <c r="H474" i="24"/>
  <c r="H473" i="24"/>
  <c r="H472" i="24"/>
  <c r="G471" i="24"/>
  <c r="H471" i="24" s="1"/>
  <c r="G470" i="24"/>
  <c r="H470" i="24" s="1"/>
  <c r="H467" i="24"/>
  <c r="H463" i="24"/>
  <c r="H466" i="24"/>
  <c r="H465" i="24"/>
  <c r="H464" i="24"/>
  <c r="G462" i="24"/>
  <c r="H462" i="24" s="1"/>
  <c r="G461" i="24"/>
  <c r="H461" i="24" s="1"/>
  <c r="H458" i="24"/>
  <c r="H456" i="24"/>
  <c r="H455" i="24"/>
  <c r="H454" i="24"/>
  <c r="H476" i="24"/>
  <c r="H469" i="24"/>
  <c r="H460" i="24"/>
  <c r="H457" i="24"/>
  <c r="E445" i="24"/>
  <c r="H445" i="24" s="1"/>
  <c r="H441" i="24"/>
  <c r="H440" i="24"/>
  <c r="H439" i="24"/>
  <c r="H438" i="24"/>
  <c r="H437" i="24"/>
  <c r="H435" i="24"/>
  <c r="H434" i="24"/>
  <c r="H433" i="24"/>
  <c r="H432" i="24"/>
  <c r="E425" i="24"/>
  <c r="G425" i="24"/>
  <c r="G424" i="24"/>
  <c r="E424" i="24"/>
  <c r="H428" i="24"/>
  <c r="H427" i="24"/>
  <c r="H426" i="24"/>
  <c r="H421" i="24"/>
  <c r="H420" i="24"/>
  <c r="H419" i="24"/>
  <c r="G417" i="24"/>
  <c r="G418" i="24"/>
  <c r="H418" i="24" s="1"/>
  <c r="G416" i="24"/>
  <c r="E417" i="24"/>
  <c r="E416" i="24"/>
  <c r="G398" i="24"/>
  <c r="H398" i="24" s="1"/>
  <c r="H400" i="24"/>
  <c r="H399" i="24"/>
  <c r="H413" i="24"/>
  <c r="H412" i="24"/>
  <c r="H411" i="24"/>
  <c r="H410" i="24"/>
  <c r="H409" i="24"/>
  <c r="H408" i="24"/>
  <c r="G407" i="24"/>
  <c r="H407" i="24" s="1"/>
  <c r="G406" i="24"/>
  <c r="H406" i="24" s="1"/>
  <c r="H405" i="24"/>
  <c r="H404" i="24"/>
  <c r="H403" i="24"/>
  <c r="G402" i="24"/>
  <c r="H402" i="24" s="1"/>
  <c r="G401" i="24"/>
  <c r="H401" i="24" s="1"/>
  <c r="E392" i="24"/>
  <c r="H396" i="24"/>
  <c r="H395" i="24"/>
  <c r="H394" i="24"/>
  <c r="G393" i="24"/>
  <c r="H393" i="24" s="1"/>
  <c r="G392" i="24"/>
  <c r="H390" i="24"/>
  <c r="H389" i="24"/>
  <c r="H388" i="24"/>
  <c r="G387" i="24"/>
  <c r="H387" i="24" s="1"/>
  <c r="G386" i="24"/>
  <c r="H386" i="24" s="1"/>
  <c r="H385" i="24"/>
  <c r="H384" i="24"/>
  <c r="H383" i="24"/>
  <c r="G382" i="24"/>
  <c r="H382" i="24" s="1"/>
  <c r="G381" i="24"/>
  <c r="H381" i="24" s="1"/>
  <c r="H423" i="24"/>
  <c r="H415" i="24"/>
  <c r="H380" i="24"/>
  <c r="H352" i="24"/>
  <c r="H346" i="24"/>
  <c r="H341" i="24"/>
  <c r="H342" i="24"/>
  <c r="H344" i="24"/>
  <c r="H345" i="24"/>
  <c r="H353" i="24"/>
  <c r="H351" i="24"/>
  <c r="H349" i="24"/>
  <c r="I350" i="24" s="1"/>
  <c r="H348" i="24"/>
  <c r="H340" i="24"/>
  <c r="H330" i="24"/>
  <c r="H336" i="24"/>
  <c r="D334" i="24"/>
  <c r="H334" i="24" s="1"/>
  <c r="H332" i="24"/>
  <c r="H331" i="24"/>
  <c r="H329" i="24"/>
  <c r="H328" i="24"/>
  <c r="F318" i="24"/>
  <c r="E318" i="24"/>
  <c r="H313" i="24"/>
  <c r="H314" i="24"/>
  <c r="H316" i="24"/>
  <c r="H317" i="24"/>
  <c r="H319" i="24"/>
  <c r="F315" i="24"/>
  <c r="E315" i="24"/>
  <c r="F312" i="24"/>
  <c r="E312" i="24"/>
  <c r="F311" i="24"/>
  <c r="E311" i="24"/>
  <c r="H307" i="24"/>
  <c r="H308" i="24"/>
  <c r="F310" i="24"/>
  <c r="E310" i="24"/>
  <c r="D310" i="24"/>
  <c r="F309" i="24"/>
  <c r="E309" i="24"/>
  <c r="F306" i="24"/>
  <c r="E306" i="24"/>
  <c r="E305" i="24"/>
  <c r="H305" i="24" s="1"/>
  <c r="E303" i="24"/>
  <c r="H303" i="24" s="1"/>
  <c r="H338" i="24"/>
  <c r="H325" i="24"/>
  <c r="H323" i="24"/>
  <c r="I323" i="24" s="1"/>
  <c r="J323" i="24" s="1"/>
  <c r="H322" i="24"/>
  <c r="H304" i="24"/>
  <c r="K299" i="24"/>
  <c r="M299" i="24" s="1"/>
  <c r="E296" i="24"/>
  <c r="H296" i="24" s="1"/>
  <c r="E295" i="24"/>
  <c r="H295" i="24" s="1"/>
  <c r="G292" i="24"/>
  <c r="H292" i="24" s="1"/>
  <c r="E262" i="24"/>
  <c r="H262" i="24" s="1"/>
  <c r="H261" i="24"/>
  <c r="E260" i="24"/>
  <c r="H260" i="24" s="1"/>
  <c r="E259" i="24"/>
  <c r="H259" i="24" s="1"/>
  <c r="E258" i="24"/>
  <c r="H258" i="24" s="1"/>
  <c r="E257" i="24"/>
  <c r="H257" i="24" s="1"/>
  <c r="H256" i="24"/>
  <c r="G255" i="24"/>
  <c r="H255" i="24" s="1"/>
  <c r="E288" i="24"/>
  <c r="H288" i="24" s="1"/>
  <c r="E287" i="24"/>
  <c r="H287" i="24" s="1"/>
  <c r="G282" i="24"/>
  <c r="H282" i="24" s="1"/>
  <c r="H248" i="24"/>
  <c r="E279" i="24"/>
  <c r="H279" i="24" s="1"/>
  <c r="E278" i="24"/>
  <c r="H278" i="24" s="1"/>
  <c r="G270" i="24"/>
  <c r="H270" i="24" s="1"/>
  <c r="G247" i="24"/>
  <c r="H247" i="24" s="1"/>
  <c r="H297" i="24"/>
  <c r="G294" i="24"/>
  <c r="E294" i="24"/>
  <c r="G293" i="24"/>
  <c r="E293" i="24"/>
  <c r="E286" i="24"/>
  <c r="H286" i="24" s="1"/>
  <c r="E285" i="24"/>
  <c r="H285" i="24" s="1"/>
  <c r="E284" i="24"/>
  <c r="H284" i="24" s="1"/>
  <c r="E283" i="24"/>
  <c r="H283" i="24" s="1"/>
  <c r="E277" i="24"/>
  <c r="H277" i="24" s="1"/>
  <c r="E276" i="24"/>
  <c r="H276" i="24" s="1"/>
  <c r="E275" i="24"/>
  <c r="H275" i="24" s="1"/>
  <c r="E274" i="24"/>
  <c r="H274" i="24" s="1"/>
  <c r="E273" i="24"/>
  <c r="H273" i="24" s="1"/>
  <c r="E272" i="24"/>
  <c r="H272" i="24" s="1"/>
  <c r="E271" i="24"/>
  <c r="H271" i="24" s="1"/>
  <c r="E252" i="24"/>
  <c r="H252" i="24" s="1"/>
  <c r="E251" i="24"/>
  <c r="H251" i="24" s="1"/>
  <c r="E250" i="24"/>
  <c r="H250" i="24" s="1"/>
  <c r="E249" i="24"/>
  <c r="H249" i="24" s="1"/>
  <c r="H184" i="24"/>
  <c r="H209" i="24"/>
  <c r="H203" i="24"/>
  <c r="H195" i="24"/>
  <c r="G207" i="24"/>
  <c r="G206" i="24"/>
  <c r="G199" i="24"/>
  <c r="G198" i="24"/>
  <c r="G188" i="24"/>
  <c r="G187" i="24"/>
  <c r="G178" i="24"/>
  <c r="G177" i="24"/>
  <c r="H177" i="24" s="1"/>
  <c r="H210" i="24"/>
  <c r="H208" i="24"/>
  <c r="E207" i="24"/>
  <c r="E206" i="24"/>
  <c r="E202" i="24"/>
  <c r="H202" i="24" s="1"/>
  <c r="E201" i="24"/>
  <c r="H201" i="24" s="1"/>
  <c r="H200" i="24"/>
  <c r="E199" i="24"/>
  <c r="E198" i="24"/>
  <c r="E194" i="24"/>
  <c r="H194" i="24" s="1"/>
  <c r="E193" i="24"/>
  <c r="H193" i="24" s="1"/>
  <c r="E192" i="24"/>
  <c r="H192" i="24" s="1"/>
  <c r="E191" i="24"/>
  <c r="H191" i="24" s="1"/>
  <c r="E190" i="24"/>
  <c r="H190" i="24" s="1"/>
  <c r="H189" i="24"/>
  <c r="E188" i="24"/>
  <c r="E187" i="24"/>
  <c r="E183" i="24"/>
  <c r="H183" i="24" s="1"/>
  <c r="E182" i="24"/>
  <c r="H182" i="24" s="1"/>
  <c r="E181" i="24"/>
  <c r="H181" i="24" s="1"/>
  <c r="H180" i="24"/>
  <c r="H179" i="24"/>
  <c r="E178" i="24"/>
  <c r="E133" i="24"/>
  <c r="H133" i="24" s="1"/>
  <c r="E132" i="24"/>
  <c r="H132" i="24" s="1"/>
  <c r="H131" i="24"/>
  <c r="H130" i="24"/>
  <c r="E129" i="24"/>
  <c r="H129" i="24" s="1"/>
  <c r="E128" i="24"/>
  <c r="H128" i="24" s="1"/>
  <c r="H127" i="24"/>
  <c r="H126" i="24"/>
  <c r="E125" i="24"/>
  <c r="H125" i="24" s="1"/>
  <c r="E124" i="24"/>
  <c r="H124" i="24" s="1"/>
  <c r="H123" i="24"/>
  <c r="H122" i="24"/>
  <c r="E121" i="24"/>
  <c r="H121" i="24" s="1"/>
  <c r="H120" i="24"/>
  <c r="H119" i="24"/>
  <c r="H113" i="24"/>
  <c r="H112" i="24"/>
  <c r="H109" i="24"/>
  <c r="H108" i="24"/>
  <c r="H105" i="24"/>
  <c r="H104" i="24"/>
  <c r="H102" i="24"/>
  <c r="H101" i="24"/>
  <c r="H93" i="24"/>
  <c r="H90" i="24"/>
  <c r="H86" i="24"/>
  <c r="I87" i="24" s="1"/>
  <c r="H83" i="24"/>
  <c r="H78" i="24"/>
  <c r="H49" i="24"/>
  <c r="H18" i="24"/>
  <c r="H19" i="24"/>
  <c r="H28" i="24"/>
  <c r="H29" i="24"/>
  <c r="H35" i="24"/>
  <c r="H36" i="24"/>
  <c r="H11" i="24"/>
  <c r="E115" i="24"/>
  <c r="H115" i="24" s="1"/>
  <c r="E111" i="24"/>
  <c r="H111" i="24" s="1"/>
  <c r="E107" i="24"/>
  <c r="H107" i="24" s="1"/>
  <c r="E103" i="24"/>
  <c r="H103" i="24" s="1"/>
  <c r="E114" i="24"/>
  <c r="H114" i="24" s="1"/>
  <c r="E110" i="24"/>
  <c r="H110" i="24" s="1"/>
  <c r="E106" i="24"/>
  <c r="H106" i="24" s="1"/>
  <c r="G82" i="24"/>
  <c r="F82" i="24"/>
  <c r="F77" i="24"/>
  <c r="E77" i="24"/>
  <c r="E76" i="24"/>
  <c r="H76" i="24" s="1"/>
  <c r="E75" i="24"/>
  <c r="H75" i="24" s="1"/>
  <c r="E72" i="24"/>
  <c r="H72" i="24" s="1"/>
  <c r="E71" i="24"/>
  <c r="H71" i="24" s="1"/>
  <c r="F70" i="24"/>
  <c r="E70" i="24"/>
  <c r="E69" i="24"/>
  <c r="H69" i="24" s="1"/>
  <c r="E68" i="24"/>
  <c r="H68" i="24" s="1"/>
  <c r="E65" i="24"/>
  <c r="H65" i="24" s="1"/>
  <c r="E64" i="24"/>
  <c r="H64" i="24" s="1"/>
  <c r="E63" i="24"/>
  <c r="H63" i="24" s="1"/>
  <c r="E62" i="24"/>
  <c r="H62" i="24" s="1"/>
  <c r="E61" i="24"/>
  <c r="H61" i="24" s="1"/>
  <c r="F60" i="24"/>
  <c r="E60" i="24"/>
  <c r="E59" i="24"/>
  <c r="H59" i="24" s="1"/>
  <c r="E58" i="24"/>
  <c r="H58" i="24" s="1"/>
  <c r="E55" i="24"/>
  <c r="H55" i="24" s="1"/>
  <c r="E54" i="24"/>
  <c r="H54" i="24" s="1"/>
  <c r="E53" i="24"/>
  <c r="H53" i="24" s="1"/>
  <c r="F52" i="24"/>
  <c r="E52" i="24"/>
  <c r="F51" i="24"/>
  <c r="E51" i="24"/>
  <c r="E50" i="24"/>
  <c r="H50" i="24" s="1"/>
  <c r="K42" i="24"/>
  <c r="M42" i="24" s="1"/>
  <c r="E38" i="24"/>
  <c r="H38" i="24" s="1"/>
  <c r="E37" i="24"/>
  <c r="H37" i="24" s="1"/>
  <c r="F39" i="24"/>
  <c r="E39" i="24"/>
  <c r="E34" i="24"/>
  <c r="H34" i="24" s="1"/>
  <c r="E33" i="24"/>
  <c r="H33" i="24" s="1"/>
  <c r="E31" i="24"/>
  <c r="H31" i="24" s="1"/>
  <c r="E30" i="24"/>
  <c r="H30" i="24" s="1"/>
  <c r="F32" i="24"/>
  <c r="E32" i="24"/>
  <c r="E27" i="24"/>
  <c r="H27" i="24" s="1"/>
  <c r="E26" i="24"/>
  <c r="H26" i="24" s="1"/>
  <c r="E24" i="24"/>
  <c r="H24" i="24" s="1"/>
  <c r="E23" i="24"/>
  <c r="H23" i="24" s="1"/>
  <c r="E21" i="24"/>
  <c r="H21" i="24" s="1"/>
  <c r="E20" i="24"/>
  <c r="H20" i="24" s="1"/>
  <c r="E25" i="24"/>
  <c r="H25" i="24" s="1"/>
  <c r="F22" i="24"/>
  <c r="E22" i="24"/>
  <c r="E17" i="24"/>
  <c r="H17" i="24" s="1"/>
  <c r="E16" i="24"/>
  <c r="H16" i="24" s="1"/>
  <c r="E15" i="24"/>
  <c r="H15" i="24" s="1"/>
  <c r="F14" i="24"/>
  <c r="E14" i="24"/>
  <c r="E13" i="24"/>
  <c r="F13" i="24"/>
  <c r="E12" i="24"/>
  <c r="H12" i="24" s="1"/>
  <c r="F7" i="24"/>
  <c r="E7" i="24"/>
  <c r="M1406" i="24"/>
  <c r="M1405" i="24"/>
  <c r="M1404" i="24"/>
  <c r="M1403" i="24"/>
  <c r="M1400" i="24"/>
  <c r="M1365" i="24"/>
  <c r="M1340" i="24"/>
  <c r="M1330" i="24"/>
  <c r="M1212" i="24"/>
  <c r="M1193" i="24"/>
  <c r="M1190" i="24"/>
  <c r="M1189" i="24"/>
  <c r="M1188" i="24"/>
  <c r="M1187" i="24"/>
  <c r="M1186" i="24"/>
  <c r="M1185" i="24"/>
  <c r="M1184" i="24"/>
  <c r="M1183" i="24"/>
  <c r="M1182" i="24"/>
  <c r="M1180" i="24"/>
  <c r="M1178" i="24"/>
  <c r="M1176" i="24"/>
  <c r="M1174" i="24"/>
  <c r="M1172" i="24"/>
  <c r="M1170" i="24"/>
  <c r="M1168" i="24"/>
  <c r="M1167" i="24"/>
  <c r="M1164" i="24"/>
  <c r="M1162" i="24"/>
  <c r="M1160" i="24"/>
  <c r="M1157" i="24"/>
  <c r="M1152" i="24"/>
  <c r="M1151" i="24"/>
  <c r="M1148" i="24"/>
  <c r="M1146" i="24"/>
  <c r="M1145" i="24"/>
  <c r="M1144" i="24"/>
  <c r="M1143" i="24"/>
  <c r="M1142" i="24"/>
  <c r="M1141" i="24"/>
  <c r="M1138" i="24"/>
  <c r="M1137" i="24"/>
  <c r="M1136" i="24"/>
  <c r="M1132" i="24"/>
  <c r="M1128" i="24"/>
  <c r="M1126" i="24"/>
  <c r="M1120" i="24"/>
  <c r="M1115" i="24"/>
  <c r="M1110" i="24"/>
  <c r="M1105" i="24"/>
  <c r="M1098" i="24"/>
  <c r="M1092" i="24"/>
  <c r="M1086" i="24"/>
  <c r="M1080" i="24"/>
  <c r="M1074" i="24"/>
  <c r="M1067" i="24"/>
  <c r="M1062" i="24"/>
  <c r="M1057" i="24"/>
  <c r="M1052" i="24"/>
  <c r="M1047" i="24"/>
  <c r="M1045" i="24"/>
  <c r="M1041" i="24"/>
  <c r="M1037" i="24"/>
  <c r="M1031" i="24"/>
  <c r="M1029" i="24"/>
  <c r="M1026" i="24"/>
  <c r="M1020" i="24"/>
  <c r="M1019" i="24"/>
  <c r="M1017" i="24"/>
  <c r="M1016" i="24"/>
  <c r="M1015" i="24"/>
  <c r="M1014" i="24"/>
  <c r="M1013" i="24"/>
  <c r="M1008" i="24"/>
  <c r="M1007" i="24"/>
  <c r="M1006" i="24"/>
  <c r="M998" i="24"/>
  <c r="M992" i="24"/>
  <c r="M988" i="24"/>
  <c r="M974" i="24"/>
  <c r="M963" i="24"/>
  <c r="M956" i="24"/>
  <c r="M936" i="24"/>
  <c r="M950" i="24"/>
  <c r="M924" i="24"/>
  <c r="M912" i="24"/>
  <c r="M897" i="24"/>
  <c r="M885" i="24"/>
  <c r="M851" i="24"/>
  <c r="M843" i="24"/>
  <c r="M811" i="24"/>
  <c r="M806" i="24"/>
  <c r="M783" i="24"/>
  <c r="M727" i="24"/>
  <c r="M716" i="24"/>
  <c r="M693" i="24"/>
  <c r="M679" i="24"/>
  <c r="M678" i="24"/>
  <c r="M659" i="24"/>
  <c r="M640" i="24"/>
  <c r="M635" i="24"/>
  <c r="M634" i="24"/>
  <c r="M633" i="24"/>
  <c r="M632" i="24"/>
  <c r="M631" i="24"/>
  <c r="M630" i="24"/>
  <c r="M629" i="24"/>
  <c r="M628" i="24"/>
  <c r="M617" i="24"/>
  <c r="M598" i="24"/>
  <c r="M563" i="24"/>
  <c r="M486" i="24"/>
  <c r="M484" i="24"/>
  <c r="M452" i="24"/>
  <c r="M449" i="24"/>
  <c r="M444" i="24"/>
  <c r="M431" i="24"/>
  <c r="M357" i="24"/>
  <c r="M338" i="24"/>
  <c r="M325" i="24"/>
  <c r="M323" i="24"/>
  <c r="M300" i="24"/>
  <c r="M244" i="24"/>
  <c r="M241" i="24"/>
  <c r="M240" i="24"/>
  <c r="M237" i="24"/>
  <c r="M234" i="24"/>
  <c r="M231" i="24"/>
  <c r="M227" i="24"/>
  <c r="M226" i="24"/>
  <c r="M223" i="24"/>
  <c r="M218" i="24"/>
  <c r="M215" i="24"/>
  <c r="M211" i="24"/>
  <c r="M175" i="24"/>
  <c r="M158" i="24"/>
  <c r="M137" i="24"/>
  <c r="M118" i="24"/>
  <c r="M100" i="24"/>
  <c r="M80" i="24"/>
  <c r="M47" i="24"/>
  <c r="M44" i="24"/>
  <c r="M8" i="24"/>
  <c r="M7" i="24"/>
  <c r="H361" i="24" l="1"/>
  <c r="O42" i="24"/>
  <c r="F78" i="29"/>
  <c r="E212" i="29" s="1"/>
  <c r="E222" i="29" s="1"/>
  <c r="O1318" i="25"/>
  <c r="O1495" i="25"/>
  <c r="O1510" i="25"/>
  <c r="O1176" i="24"/>
  <c r="O1160" i="24"/>
  <c r="O1136" i="24"/>
  <c r="O1007" i="24"/>
  <c r="O1327" i="25"/>
  <c r="O1151" i="24"/>
  <c r="O1015" i="24"/>
  <c r="O1497" i="25"/>
  <c r="O1504" i="25"/>
  <c r="O1328" i="25"/>
  <c r="O1519" i="25"/>
  <c r="O1174" i="24"/>
  <c r="O1142" i="24"/>
  <c r="O1126" i="24"/>
  <c r="O1013" i="24"/>
  <c r="O636" i="24"/>
  <c r="O1463" i="25"/>
  <c r="O1478" i="25"/>
  <c r="O1477" i="25"/>
  <c r="O1172" i="24"/>
  <c r="O1132" i="24"/>
  <c r="I771" i="24"/>
  <c r="O1317" i="25"/>
  <c r="O1473" i="25"/>
  <c r="O1507" i="25"/>
  <c r="O1479" i="25"/>
  <c r="O1147" i="24"/>
  <c r="O1360" i="25"/>
  <c r="O1467" i="25"/>
  <c r="O1515" i="25"/>
  <c r="O1326" i="25"/>
  <c r="O1474" i="25"/>
  <c r="O1137" i="24"/>
  <c r="O1008" i="24"/>
  <c r="I741" i="24"/>
  <c r="J727" i="24" s="1"/>
  <c r="O1468" i="25"/>
  <c r="O1260" i="25"/>
  <c r="O1319" i="25"/>
  <c r="J1006" i="24"/>
  <c r="O1006" i="24" s="1"/>
  <c r="O1324" i="25"/>
  <c r="O1459" i="25"/>
  <c r="O1484" i="25"/>
  <c r="O1512" i="25"/>
  <c r="O1141" i="24"/>
  <c r="O1045" i="24"/>
  <c r="O956" i="24"/>
  <c r="O323" i="24"/>
  <c r="O1325" i="25"/>
  <c r="O844" i="25"/>
  <c r="O56" i="25"/>
  <c r="O286" i="25"/>
  <c r="I1014" i="24"/>
  <c r="J1014" i="24" s="1"/>
  <c r="I1725" i="25"/>
  <c r="I1729" i="25"/>
  <c r="I1710" i="25"/>
  <c r="H129" i="25"/>
  <c r="I131" i="25" s="1"/>
  <c r="I1703" i="25"/>
  <c r="J1499" i="25"/>
  <c r="J1521" i="25"/>
  <c r="J1456" i="25"/>
  <c r="I1668" i="25"/>
  <c r="I1647" i="25"/>
  <c r="I1677" i="25"/>
  <c r="I1689" i="25"/>
  <c r="I1640" i="25"/>
  <c r="I1604" i="25"/>
  <c r="I1535" i="25"/>
  <c r="J1535" i="25" s="1"/>
  <c r="I1575" i="25"/>
  <c r="J1517" i="25"/>
  <c r="J1485" i="25"/>
  <c r="J1480" i="25"/>
  <c r="J1433" i="25"/>
  <c r="J1439" i="25"/>
  <c r="J1392" i="25"/>
  <c r="J1399" i="25"/>
  <c r="J1362" i="25"/>
  <c r="J1355" i="25"/>
  <c r="I1349" i="25"/>
  <c r="J1343" i="25"/>
  <c r="J1350" i="25"/>
  <c r="J1331" i="25"/>
  <c r="O1331" i="25" s="1"/>
  <c r="I1287" i="25"/>
  <c r="J1281" i="25" s="1"/>
  <c r="I1271" i="25"/>
  <c r="J1267" i="25" s="1"/>
  <c r="I1257" i="25"/>
  <c r="J1250" i="25" s="1"/>
  <c r="I1198" i="25"/>
  <c r="I1228" i="25"/>
  <c r="I884" i="24"/>
  <c r="H360" i="24"/>
  <c r="I367" i="24" s="1"/>
  <c r="I1176" i="25"/>
  <c r="I1159" i="25"/>
  <c r="I1142" i="25"/>
  <c r="I1146" i="25"/>
  <c r="I1155" i="25"/>
  <c r="I1151" i="25"/>
  <c r="I1111" i="25"/>
  <c r="I1063" i="25"/>
  <c r="J1041" i="25" s="1"/>
  <c r="I1029" i="25"/>
  <c r="I1038" i="25"/>
  <c r="I957" i="25"/>
  <c r="I903" i="25"/>
  <c r="I890" i="25"/>
  <c r="I882" i="25"/>
  <c r="I873" i="25"/>
  <c r="I886" i="25"/>
  <c r="H852" i="25"/>
  <c r="I877" i="25"/>
  <c r="I859" i="25"/>
  <c r="I839" i="25"/>
  <c r="J836" i="25" s="1"/>
  <c r="I827" i="25"/>
  <c r="I808" i="25"/>
  <c r="I785" i="25"/>
  <c r="I764" i="25"/>
  <c r="I773" i="25"/>
  <c r="H112" i="25"/>
  <c r="H108" i="25"/>
  <c r="H120" i="25"/>
  <c r="H103" i="25"/>
  <c r="I732" i="25"/>
  <c r="I657" i="25"/>
  <c r="I613" i="25"/>
  <c r="I596" i="25"/>
  <c r="I577" i="25"/>
  <c r="I559" i="25"/>
  <c r="I571" i="25"/>
  <c r="H510" i="25"/>
  <c r="H473" i="25"/>
  <c r="I495" i="25" s="1"/>
  <c r="H450" i="25"/>
  <c r="H369" i="24"/>
  <c r="H370" i="24"/>
  <c r="H441" i="25"/>
  <c r="H516" i="25"/>
  <c r="H374" i="25"/>
  <c r="J234" i="24"/>
  <c r="O234" i="24" s="1"/>
  <c r="J237" i="24"/>
  <c r="O237" i="24" s="1"/>
  <c r="J227" i="24"/>
  <c r="O227" i="24" s="1"/>
  <c r="H373" i="25"/>
  <c r="I409" i="25"/>
  <c r="I414" i="25"/>
  <c r="H372" i="25"/>
  <c r="I391" i="25"/>
  <c r="H368" i="25"/>
  <c r="H369" i="25"/>
  <c r="I335" i="25"/>
  <c r="I345" i="25"/>
  <c r="J276" i="25"/>
  <c r="H305" i="25"/>
  <c r="I323" i="25" s="1"/>
  <c r="J281" i="25"/>
  <c r="J293" i="25"/>
  <c r="J270" i="25"/>
  <c r="J289" i="25"/>
  <c r="J266" i="25"/>
  <c r="J223" i="24"/>
  <c r="O223" i="24" s="1"/>
  <c r="J215" i="24"/>
  <c r="O215" i="24" s="1"/>
  <c r="J218" i="24"/>
  <c r="O218" i="24" s="1"/>
  <c r="I268" i="24"/>
  <c r="H225" i="25"/>
  <c r="I229" i="25" s="1"/>
  <c r="I247" i="25"/>
  <c r="I255" i="25"/>
  <c r="I238" i="25"/>
  <c r="I193" i="25"/>
  <c r="H176" i="25"/>
  <c r="H175" i="25"/>
  <c r="H181" i="25"/>
  <c r="H198" i="25"/>
  <c r="I199" i="25" s="1"/>
  <c r="I212" i="25"/>
  <c r="H179" i="25"/>
  <c r="I207" i="25"/>
  <c r="I161" i="25"/>
  <c r="H180" i="25"/>
  <c r="H182" i="25"/>
  <c r="J1469" i="25"/>
  <c r="H195" i="25"/>
  <c r="I196" i="25" s="1"/>
  <c r="J839" i="24"/>
  <c r="I169" i="24"/>
  <c r="H153" i="24"/>
  <c r="I154" i="24" s="1"/>
  <c r="I164" i="24"/>
  <c r="H150" i="24"/>
  <c r="I151" i="24" s="1"/>
  <c r="H146" i="24"/>
  <c r="H144" i="24"/>
  <c r="H147" i="24"/>
  <c r="H145" i="24"/>
  <c r="H139" i="24"/>
  <c r="I142" i="24" s="1"/>
  <c r="M1407" i="24"/>
  <c r="I153" i="25"/>
  <c r="I165" i="25"/>
  <c r="I157" i="25"/>
  <c r="I169" i="25"/>
  <c r="H11" i="25"/>
  <c r="H65" i="25"/>
  <c r="I68" i="25" s="1"/>
  <c r="H72" i="25"/>
  <c r="I77" i="25" s="1"/>
  <c r="H89" i="25"/>
  <c r="I92" i="25" s="1"/>
  <c r="H96" i="25"/>
  <c r="I97" i="25" s="1"/>
  <c r="H13" i="25"/>
  <c r="H544" i="25"/>
  <c r="H38" i="25"/>
  <c r="I42" i="25" s="1"/>
  <c r="H81" i="25"/>
  <c r="I85" i="25" s="1"/>
  <c r="H12" i="25"/>
  <c r="H10" i="25"/>
  <c r="M263" i="25"/>
  <c r="I1313" i="25"/>
  <c r="J1309" i="25" s="1"/>
  <c r="H358" i="25"/>
  <c r="I812" i="25"/>
  <c r="I824" i="25"/>
  <c r="H395" i="25"/>
  <c r="I396" i="25" s="1"/>
  <c r="H535" i="25"/>
  <c r="I743" i="25"/>
  <c r="H398" i="25"/>
  <c r="I399" i="25" s="1"/>
  <c r="I864" i="25"/>
  <c r="M1320" i="25"/>
  <c r="I1739" i="25"/>
  <c r="I930" i="25"/>
  <c r="M1748" i="25"/>
  <c r="I143" i="25"/>
  <c r="I424" i="25"/>
  <c r="I934" i="25"/>
  <c r="M171" i="25"/>
  <c r="M219" i="25"/>
  <c r="I621" i="25"/>
  <c r="I434" i="25"/>
  <c r="I816" i="25"/>
  <c r="H850" i="25"/>
  <c r="I900" i="25"/>
  <c r="I926" i="25"/>
  <c r="M585" i="25"/>
  <c r="I803" i="25"/>
  <c r="H22" i="25"/>
  <c r="H359" i="25"/>
  <c r="H378" i="25"/>
  <c r="H536" i="25"/>
  <c r="H543" i="25"/>
  <c r="I1194" i="25"/>
  <c r="J1491" i="25"/>
  <c r="M436" i="25"/>
  <c r="H380" i="25"/>
  <c r="I604" i="25"/>
  <c r="I945" i="25"/>
  <c r="M1258" i="25"/>
  <c r="M1464" i="25"/>
  <c r="I135" i="25"/>
  <c r="H8" i="25"/>
  <c r="H381" i="25"/>
  <c r="M817" i="25"/>
  <c r="H101" i="25"/>
  <c r="M1184" i="25"/>
  <c r="I1070" i="25"/>
  <c r="J1065" i="25" s="1"/>
  <c r="I1180" i="25"/>
  <c r="J1177" i="25" s="1"/>
  <c r="I1223" i="25"/>
  <c r="H46" i="25"/>
  <c r="I49" i="25" s="1"/>
  <c r="I428" i="25"/>
  <c r="I1238" i="25"/>
  <c r="J1232" i="25" s="1"/>
  <c r="H379" i="25"/>
  <c r="J1445" i="25"/>
  <c r="I579" i="25"/>
  <c r="J579" i="25" s="1"/>
  <c r="I856" i="25"/>
  <c r="I998" i="25"/>
  <c r="H1305" i="25"/>
  <c r="I1305" i="25" s="1"/>
  <c r="J1303" i="25" s="1"/>
  <c r="J1426" i="25"/>
  <c r="H29" i="25"/>
  <c r="I34" i="25" s="1"/>
  <c r="H53" i="25"/>
  <c r="I54" i="25" s="1"/>
  <c r="H861" i="25"/>
  <c r="I862" i="25" s="1"/>
  <c r="M1230" i="25"/>
  <c r="J1413" i="25"/>
  <c r="O1413" i="25" s="1"/>
  <c r="M1757" i="25"/>
  <c r="M59" i="25"/>
  <c r="I147" i="25"/>
  <c r="I628" i="25"/>
  <c r="M910" i="25"/>
  <c r="M1533" i="25"/>
  <c r="I354" i="25"/>
  <c r="J1384" i="25"/>
  <c r="I1092" i="25"/>
  <c r="J1379" i="25"/>
  <c r="M299" i="25"/>
  <c r="I972" i="25"/>
  <c r="I1121" i="25"/>
  <c r="J1420" i="25"/>
  <c r="J1450" i="25"/>
  <c r="I689" i="25"/>
  <c r="I736" i="25"/>
  <c r="I799" i="25"/>
  <c r="M845" i="25"/>
  <c r="J1205" i="25"/>
  <c r="M1301" i="25"/>
  <c r="J1368" i="25"/>
  <c r="J1373" i="25"/>
  <c r="J1406" i="25"/>
  <c r="O1406" i="25" s="1"/>
  <c r="I1378" i="24"/>
  <c r="I1388" i="24"/>
  <c r="I1363" i="24"/>
  <c r="I1359" i="24"/>
  <c r="I1339" i="24"/>
  <c r="I1326" i="24"/>
  <c r="I1238" i="24"/>
  <c r="I1334" i="24"/>
  <c r="I1310" i="24"/>
  <c r="I1280" i="24"/>
  <c r="I1272" i="24"/>
  <c r="I1300" i="24"/>
  <c r="J1148" i="24"/>
  <c r="J1152" i="24"/>
  <c r="J1157" i="24"/>
  <c r="J1164" i="24"/>
  <c r="J1138" i="24"/>
  <c r="M1133" i="24"/>
  <c r="J1120" i="24"/>
  <c r="J1105" i="24"/>
  <c r="J1098" i="24"/>
  <c r="J1115" i="24"/>
  <c r="J1110" i="24"/>
  <c r="J1086" i="24"/>
  <c r="O1086" i="24" s="1"/>
  <c r="J1092" i="24"/>
  <c r="J1074" i="24"/>
  <c r="J1080" i="24"/>
  <c r="O1080" i="24" s="1"/>
  <c r="J1052" i="24"/>
  <c r="J1047" i="24"/>
  <c r="J1067" i="24"/>
  <c r="J1062" i="24"/>
  <c r="J1057" i="24"/>
  <c r="J1041" i="24"/>
  <c r="J1037" i="24"/>
  <c r="J1031" i="24"/>
  <c r="J1020" i="24"/>
  <c r="O1020" i="24" s="1"/>
  <c r="I1002" i="24"/>
  <c r="J998" i="24" s="1"/>
  <c r="M637" i="24"/>
  <c r="H994" i="24"/>
  <c r="I994" i="24" s="1"/>
  <c r="J992" i="24" s="1"/>
  <c r="I980" i="24"/>
  <c r="J974" i="24" s="1"/>
  <c r="I967" i="24"/>
  <c r="J963" i="24" s="1"/>
  <c r="I942" i="24"/>
  <c r="J936" i="24" s="1"/>
  <c r="I927" i="24"/>
  <c r="M954" i="24"/>
  <c r="M934" i="24"/>
  <c r="I932" i="24"/>
  <c r="I905" i="24"/>
  <c r="J897" i="24" s="1"/>
  <c r="I917" i="24"/>
  <c r="J912" i="24" s="1"/>
  <c r="I706" i="24"/>
  <c r="I444" i="24"/>
  <c r="J444" i="24" s="1"/>
  <c r="I890" i="24"/>
  <c r="J885" i="24" s="1"/>
  <c r="O885" i="24" s="1"/>
  <c r="I860" i="24"/>
  <c r="I868" i="24"/>
  <c r="I864" i="24"/>
  <c r="I856" i="24"/>
  <c r="I850" i="24"/>
  <c r="J843" i="24" s="1"/>
  <c r="I835" i="24"/>
  <c r="I809" i="24"/>
  <c r="J806" i="24" s="1"/>
  <c r="I824" i="24"/>
  <c r="I804" i="24"/>
  <c r="I714" i="24"/>
  <c r="I710" i="24"/>
  <c r="I725" i="24"/>
  <c r="J716" i="24" s="1"/>
  <c r="I684" i="24"/>
  <c r="J679" i="24" s="1"/>
  <c r="I656" i="24"/>
  <c r="I675" i="24"/>
  <c r="I651" i="24"/>
  <c r="I667" i="24"/>
  <c r="I671" i="24"/>
  <c r="I663" i="24"/>
  <c r="I602" i="24"/>
  <c r="I622" i="24"/>
  <c r="I619" i="24"/>
  <c r="I614" i="24"/>
  <c r="I606" i="24"/>
  <c r="H642" i="24"/>
  <c r="I645" i="24" s="1"/>
  <c r="H608" i="24"/>
  <c r="I610" i="24" s="1"/>
  <c r="H653" i="24"/>
  <c r="I654" i="24" s="1"/>
  <c r="I343" i="24"/>
  <c r="I590" i="24"/>
  <c r="I596" i="24"/>
  <c r="I580" i="24"/>
  <c r="I593" i="24"/>
  <c r="I512" i="24"/>
  <c r="H557" i="24"/>
  <c r="H556" i="24"/>
  <c r="H527" i="24"/>
  <c r="I549" i="24" s="1"/>
  <c r="H552" i="24"/>
  <c r="I482" i="24"/>
  <c r="H553" i="24"/>
  <c r="I459" i="24"/>
  <c r="I475" i="24"/>
  <c r="I468" i="24"/>
  <c r="I442" i="24"/>
  <c r="I436" i="24"/>
  <c r="H424" i="24"/>
  <c r="H416" i="24"/>
  <c r="H425" i="24"/>
  <c r="H417" i="24"/>
  <c r="H392" i="24"/>
  <c r="I414" i="24" s="1"/>
  <c r="I347" i="24"/>
  <c r="I353" i="24"/>
  <c r="H309" i="24"/>
  <c r="H310" i="24"/>
  <c r="H333" i="24"/>
  <c r="I336" i="24" s="1"/>
  <c r="I331" i="24"/>
  <c r="H318" i="24"/>
  <c r="I319" i="24" s="1"/>
  <c r="H315" i="24"/>
  <c r="I316" i="24" s="1"/>
  <c r="H311" i="24"/>
  <c r="H312" i="24"/>
  <c r="H306" i="24"/>
  <c r="I307" i="24" s="1"/>
  <c r="I289" i="24"/>
  <c r="I280" i="24"/>
  <c r="H77" i="24"/>
  <c r="I78" i="24" s="1"/>
  <c r="H293" i="24"/>
  <c r="H206" i="24"/>
  <c r="H294" i="24"/>
  <c r="H199" i="24"/>
  <c r="H39" i="24"/>
  <c r="I40" i="24" s="1"/>
  <c r="H52" i="24"/>
  <c r="H70" i="24"/>
  <c r="I73" i="24" s="1"/>
  <c r="H82" i="24"/>
  <c r="I84" i="24" s="1"/>
  <c r="H187" i="24"/>
  <c r="H60" i="24"/>
  <c r="I66" i="24" s="1"/>
  <c r="H178" i="24"/>
  <c r="I185" i="24" s="1"/>
  <c r="H22" i="24"/>
  <c r="I28" i="24" s="1"/>
  <c r="H13" i="24"/>
  <c r="H207" i="24"/>
  <c r="H198" i="24"/>
  <c r="H188" i="24"/>
  <c r="I104" i="24"/>
  <c r="I134" i="24"/>
  <c r="I130" i="24"/>
  <c r="I126" i="24"/>
  <c r="H14" i="24"/>
  <c r="H51" i="24"/>
  <c r="H7" i="24"/>
  <c r="H32" i="24"/>
  <c r="I35" i="24" s="1"/>
  <c r="I122" i="24"/>
  <c r="I116" i="24"/>
  <c r="I108" i="24"/>
  <c r="I112" i="24"/>
  <c r="I91" i="24"/>
  <c r="I94" i="24"/>
  <c r="M212" i="24"/>
  <c r="M1009" i="24"/>
  <c r="M135" i="24"/>
  <c r="M691" i="24"/>
  <c r="M1398" i="24"/>
  <c r="M173" i="24"/>
  <c r="M355" i="24"/>
  <c r="M1191" i="24"/>
  <c r="M1401" i="24"/>
  <c r="M450" i="24"/>
  <c r="M242" i="24"/>
  <c r="M894" i="24"/>
  <c r="M990" i="24"/>
  <c r="M615" i="24"/>
  <c r="H254" i="22"/>
  <c r="H253" i="22"/>
  <c r="H252" i="22"/>
  <c r="H251" i="22"/>
  <c r="H250" i="22"/>
  <c r="H247" i="22"/>
  <c r="H246" i="22"/>
  <c r="H245" i="22"/>
  <c r="H244" i="22"/>
  <c r="H243" i="22"/>
  <c r="H242" i="22"/>
  <c r="H241" i="22"/>
  <c r="H240" i="22"/>
  <c r="H237" i="22"/>
  <c r="H236" i="22"/>
  <c r="H235" i="22"/>
  <c r="H234" i="22"/>
  <c r="H233" i="22"/>
  <c r="H230" i="22"/>
  <c r="H229" i="22"/>
  <c r="H228" i="22"/>
  <c r="H227" i="22"/>
  <c r="H226" i="22"/>
  <c r="H225" i="22"/>
  <c r="H224" i="22"/>
  <c r="H223" i="22"/>
  <c r="H222" i="22"/>
  <c r="H221" i="22"/>
  <c r="H220" i="22"/>
  <c r="H219" i="22"/>
  <c r="H218" i="22"/>
  <c r="H217" i="22"/>
  <c r="H216" i="22"/>
  <c r="H215" i="22"/>
  <c r="H214" i="22"/>
  <c r="H213" i="22"/>
  <c r="H212" i="22"/>
  <c r="H211" i="22"/>
  <c r="H210" i="22"/>
  <c r="H209" i="22"/>
  <c r="H208" i="22"/>
  <c r="H207" i="22"/>
  <c r="H206" i="22"/>
  <c r="H205" i="22"/>
  <c r="H204" i="22"/>
  <c r="H203" i="22"/>
  <c r="H202" i="22"/>
  <c r="H201" i="22"/>
  <c r="H200" i="22"/>
  <c r="H199" i="22"/>
  <c r="H198" i="22"/>
  <c r="H197" i="22"/>
  <c r="H196" i="22"/>
  <c r="H195" i="22"/>
  <c r="H194" i="22"/>
  <c r="H193" i="22"/>
  <c r="H192" i="22"/>
  <c r="H191" i="22"/>
  <c r="H190" i="22"/>
  <c r="H189" i="22"/>
  <c r="H188" i="22"/>
  <c r="H187" i="22"/>
  <c r="H186" i="22"/>
  <c r="H185" i="22"/>
  <c r="H184" i="22"/>
  <c r="H183" i="22"/>
  <c r="H182" i="22"/>
  <c r="H181" i="22"/>
  <c r="H180" i="22"/>
  <c r="H179" i="22"/>
  <c r="H178" i="22"/>
  <c r="H177" i="22"/>
  <c r="H176" i="22"/>
  <c r="H172" i="22"/>
  <c r="H171" i="22"/>
  <c r="H169" i="22"/>
  <c r="H168" i="22"/>
  <c r="H167" i="22"/>
  <c r="H166" i="22"/>
  <c r="H165" i="22"/>
  <c r="H164" i="22"/>
  <c r="H162" i="22"/>
  <c r="H161" i="22"/>
  <c r="H160" i="22"/>
  <c r="H159" i="22"/>
  <c r="H158" i="22"/>
  <c r="H157" i="22"/>
  <c r="H155" i="22"/>
  <c r="H154" i="22"/>
  <c r="H153" i="22"/>
  <c r="H152" i="22"/>
  <c r="H151" i="22"/>
  <c r="H149" i="22"/>
  <c r="H148" i="22"/>
  <c r="H147" i="22"/>
  <c r="H146" i="22"/>
  <c r="H145" i="22"/>
  <c r="H144" i="22"/>
  <c r="H143" i="22"/>
  <c r="H142" i="22"/>
  <c r="H140" i="22"/>
  <c r="H139" i="22"/>
  <c r="H138" i="22"/>
  <c r="H137" i="22"/>
  <c r="H136" i="22"/>
  <c r="H131" i="22"/>
  <c r="H130" i="22"/>
  <c r="H129" i="22"/>
  <c r="H128" i="22"/>
  <c r="H127" i="22"/>
  <c r="H124" i="22"/>
  <c r="H123" i="22"/>
  <c r="H122" i="22"/>
  <c r="H121" i="22"/>
  <c r="H118" i="22"/>
  <c r="H117" i="22"/>
  <c r="H114" i="22"/>
  <c r="H113" i="22"/>
  <c r="H112" i="22"/>
  <c r="H111" i="22"/>
  <c r="H110" i="22"/>
  <c r="H106" i="22"/>
  <c r="H105" i="22"/>
  <c r="H104" i="22"/>
  <c r="H103" i="22"/>
  <c r="H102" i="22"/>
  <c r="H101" i="22"/>
  <c r="H100" i="22"/>
  <c r="H99" i="22"/>
  <c r="H98" i="22"/>
  <c r="H97" i="22"/>
  <c r="H96" i="22"/>
  <c r="H95" i="22"/>
  <c r="H94" i="22"/>
  <c r="H93" i="22"/>
  <c r="H90" i="22"/>
  <c r="H89" i="22"/>
  <c r="H88" i="22"/>
  <c r="H87" i="22"/>
  <c r="H86" i="22"/>
  <c r="H85" i="22"/>
  <c r="H84" i="22"/>
  <c r="H83" i="22"/>
  <c r="H82" i="22"/>
  <c r="H78" i="22"/>
  <c r="H77" i="22"/>
  <c r="H76" i="22"/>
  <c r="H75" i="22"/>
  <c r="H74" i="22"/>
  <c r="H73" i="22"/>
  <c r="H72" i="22"/>
  <c r="H71" i="22"/>
  <c r="H70" i="22"/>
  <c r="H67" i="22"/>
  <c r="H66" i="22"/>
  <c r="H65" i="22"/>
  <c r="H64" i="22"/>
  <c r="H63" i="22"/>
  <c r="H60" i="22"/>
  <c r="H59" i="22"/>
  <c r="H58" i="22"/>
  <c r="H57" i="22"/>
  <c r="H56" i="22"/>
  <c r="H55" i="22"/>
  <c r="H52" i="22"/>
  <c r="H51" i="22"/>
  <c r="H50" i="22"/>
  <c r="H49" i="22"/>
  <c r="H48" i="22"/>
  <c r="H47" i="22"/>
  <c r="H45" i="22"/>
  <c r="H44" i="22"/>
  <c r="H41" i="22"/>
  <c r="H40" i="22"/>
  <c r="H39" i="22"/>
  <c r="H38" i="22"/>
  <c r="H37" i="22"/>
  <c r="H36" i="22"/>
  <c r="H35" i="22"/>
  <c r="H34" i="22"/>
  <c r="H32" i="22"/>
  <c r="H31" i="22"/>
  <c r="H30" i="22"/>
  <c r="H26" i="22"/>
  <c r="H25" i="22"/>
  <c r="H27" i="22" s="1"/>
  <c r="H22" i="22"/>
  <c r="H21" i="22"/>
  <c r="H20" i="22"/>
  <c r="H17" i="22"/>
  <c r="H16" i="22"/>
  <c r="H15" i="22"/>
  <c r="H14" i="22"/>
  <c r="H11" i="22"/>
  <c r="H10" i="22"/>
  <c r="H9" i="22"/>
  <c r="H8" i="22"/>
  <c r="H7" i="22"/>
  <c r="O1031" i="24" l="1"/>
  <c r="O1426" i="25"/>
  <c r="O1439" i="25"/>
  <c r="O1499" i="25"/>
  <c r="O806" i="24"/>
  <c r="O444" i="24"/>
  <c r="O936" i="24"/>
  <c r="O1037" i="24"/>
  <c r="O1074" i="24"/>
  <c r="O1379" i="25"/>
  <c r="O1303" i="25"/>
  <c r="O1491" i="25"/>
  <c r="O1309" i="25"/>
  <c r="O1350" i="25"/>
  <c r="O1433" i="25"/>
  <c r="O963" i="24"/>
  <c r="O1092" i="24"/>
  <c r="O1480" i="25"/>
  <c r="O843" i="24"/>
  <c r="O974" i="24"/>
  <c r="O1057" i="24"/>
  <c r="O1164" i="24"/>
  <c r="O1384" i="25"/>
  <c r="O1177" i="25"/>
  <c r="O716" i="24"/>
  <c r="O897" i="24"/>
  <c r="O992" i="24"/>
  <c r="O1062" i="24"/>
  <c r="O1110" i="24"/>
  <c r="O1157" i="24"/>
  <c r="O1373" i="25"/>
  <c r="O1450" i="25"/>
  <c r="O839" i="24"/>
  <c r="O1355" i="25"/>
  <c r="O1517" i="25"/>
  <c r="O1067" i="24"/>
  <c r="O1115" i="24"/>
  <c r="O1152" i="24"/>
  <c r="O1368" i="25"/>
  <c r="O1420" i="25"/>
  <c r="O1445" i="25"/>
  <c r="O1250" i="25"/>
  <c r="O1362" i="25"/>
  <c r="O998" i="24"/>
  <c r="O1047" i="24"/>
  <c r="O1098" i="24"/>
  <c r="O1148" i="24"/>
  <c r="O1469" i="25"/>
  <c r="J1137" i="25"/>
  <c r="O1267" i="25"/>
  <c r="O1399" i="25"/>
  <c r="O1456" i="25"/>
  <c r="O1014" i="24"/>
  <c r="O1120" i="24"/>
  <c r="O1041" i="24"/>
  <c r="O1138" i="24"/>
  <c r="O1343" i="25"/>
  <c r="O679" i="24"/>
  <c r="O912" i="24"/>
  <c r="O1485" i="25"/>
  <c r="O1052" i="24"/>
  <c r="O1105" i="24"/>
  <c r="O1205" i="25"/>
  <c r="O1232" i="25"/>
  <c r="O1281" i="25"/>
  <c r="O1392" i="25"/>
  <c r="O1535" i="25"/>
  <c r="O1521" i="25"/>
  <c r="O1130" i="25"/>
  <c r="J1705" i="25"/>
  <c r="O1041" i="25"/>
  <c r="O266" i="25"/>
  <c r="O579" i="25"/>
  <c r="O289" i="25"/>
  <c r="O270" i="25"/>
  <c r="O293" i="25"/>
  <c r="O836" i="25"/>
  <c r="O281" i="25"/>
  <c r="E1743" i="25"/>
  <c r="H1743" i="25" s="1"/>
  <c r="I1744" i="25" s="1"/>
  <c r="O1065" i="25"/>
  <c r="O276" i="25"/>
  <c r="J1550" i="25"/>
  <c r="J1187" i="25"/>
  <c r="I379" i="24"/>
  <c r="O1137" i="25"/>
  <c r="J1079" i="25"/>
  <c r="J936" i="25"/>
  <c r="J894" i="25"/>
  <c r="I853" i="25"/>
  <c r="J848" i="25" s="1"/>
  <c r="J819" i="25"/>
  <c r="J867" i="25"/>
  <c r="H42" i="22"/>
  <c r="H91" i="22"/>
  <c r="H107" i="22"/>
  <c r="H115" i="22"/>
  <c r="H255" i="22"/>
  <c r="H23" i="22"/>
  <c r="H119" i="22"/>
  <c r="J793" i="25"/>
  <c r="J745" i="25"/>
  <c r="I105" i="25"/>
  <c r="J99" i="25" s="1"/>
  <c r="O99" i="25" s="1"/>
  <c r="J550" i="25"/>
  <c r="J632" i="25"/>
  <c r="J587" i="25"/>
  <c r="I541" i="25"/>
  <c r="I548" i="25"/>
  <c r="I532" i="25"/>
  <c r="I459" i="25"/>
  <c r="J403" i="25"/>
  <c r="J338" i="24"/>
  <c r="I375" i="25"/>
  <c r="I177" i="25"/>
  <c r="I184" i="25"/>
  <c r="J201" i="25"/>
  <c r="J149" i="25"/>
  <c r="O149" i="25" s="1"/>
  <c r="J325" i="24"/>
  <c r="J158" i="24"/>
  <c r="J1340" i="24"/>
  <c r="I148" i="24"/>
  <c r="J137" i="24" s="1"/>
  <c r="J1365" i="24"/>
  <c r="J1741" i="25"/>
  <c r="I362" i="25"/>
  <c r="J61" i="25"/>
  <c r="O61" i="25" s="1"/>
  <c r="I14" i="25"/>
  <c r="J7" i="25" s="1"/>
  <c r="O7" i="25" s="1"/>
  <c r="J912" i="25"/>
  <c r="J127" i="25"/>
  <c r="I382" i="25"/>
  <c r="J1220" i="25"/>
  <c r="I25" i="25"/>
  <c r="J18" i="25" s="1"/>
  <c r="O18" i="25" s="1"/>
  <c r="M846" i="25"/>
  <c r="J419" i="25"/>
  <c r="I261" i="25"/>
  <c r="J221" i="25" s="1"/>
  <c r="O221" i="25" s="1"/>
  <c r="M1321" i="25"/>
  <c r="J959" i="25"/>
  <c r="J1330" i="24"/>
  <c r="J1212" i="24"/>
  <c r="J924" i="24"/>
  <c r="J783" i="24"/>
  <c r="J851" i="24"/>
  <c r="J811" i="24"/>
  <c r="J693" i="24"/>
  <c r="J659" i="24"/>
  <c r="J640" i="24"/>
  <c r="J617" i="24"/>
  <c r="J598" i="24"/>
  <c r="J563" i="24"/>
  <c r="J452" i="24"/>
  <c r="I554" i="24"/>
  <c r="I561" i="24"/>
  <c r="J431" i="24"/>
  <c r="I422" i="24"/>
  <c r="I429" i="24"/>
  <c r="I313" i="24"/>
  <c r="J300" i="24" s="1"/>
  <c r="O300" i="24" s="1"/>
  <c r="I297" i="24"/>
  <c r="J244" i="24" s="1"/>
  <c r="I210" i="24"/>
  <c r="I204" i="24"/>
  <c r="I196" i="24"/>
  <c r="J118" i="24"/>
  <c r="O118" i="24" s="1"/>
  <c r="J100" i="24"/>
  <c r="O100" i="24" s="1"/>
  <c r="J80" i="24"/>
  <c r="O80" i="24" s="1"/>
  <c r="I56" i="24"/>
  <c r="J47" i="24" s="1"/>
  <c r="O47" i="24" s="1"/>
  <c r="I18" i="24"/>
  <c r="J9" i="24" s="1"/>
  <c r="M9" i="24"/>
  <c r="M45" i="24" s="1"/>
  <c r="M638" i="24" s="1"/>
  <c r="H238" i="22"/>
  <c r="H231" i="22"/>
  <c r="H248" i="22"/>
  <c r="H79" i="22"/>
  <c r="H68" i="22"/>
  <c r="H132" i="22"/>
  <c r="H53" i="22"/>
  <c r="H61" i="22"/>
  <c r="H80" i="22" s="1"/>
  <c r="H125" i="22"/>
  <c r="H173" i="22"/>
  <c r="H12" i="22"/>
  <c r="H18" i="22"/>
  <c r="O851" i="24" l="1"/>
  <c r="J299" i="24"/>
  <c r="O299" i="24" s="1"/>
  <c r="O244" i="24"/>
  <c r="O783" i="24"/>
  <c r="O598" i="24"/>
  <c r="O1741" i="25"/>
  <c r="O1365" i="24"/>
  <c r="O1187" i="25"/>
  <c r="O9" i="24"/>
  <c r="O563" i="24"/>
  <c r="O924" i="24"/>
  <c r="O617" i="24"/>
  <c r="O1220" i="25"/>
  <c r="J357" i="24"/>
  <c r="O640" i="24"/>
  <c r="O1330" i="24"/>
  <c r="J156" i="24"/>
  <c r="O156" i="24" s="1"/>
  <c r="O137" i="24"/>
  <c r="O431" i="24"/>
  <c r="J677" i="24"/>
  <c r="O677" i="24" s="1"/>
  <c r="O659" i="24"/>
  <c r="O1340" i="24"/>
  <c r="O338" i="24"/>
  <c r="O1705" i="25"/>
  <c r="E1194" i="24"/>
  <c r="H1194" i="24" s="1"/>
  <c r="I1193" i="24" s="1"/>
  <c r="J1193" i="24" s="1"/>
  <c r="O452" i="24"/>
  <c r="O1550" i="25"/>
  <c r="H133" i="22"/>
  <c r="D257" i="22" s="1"/>
  <c r="O1212" i="24"/>
  <c r="O693" i="24"/>
  <c r="O158" i="24"/>
  <c r="O811" i="24"/>
  <c r="O325" i="24"/>
  <c r="O201" i="25"/>
  <c r="J865" i="25"/>
  <c r="O865" i="25" s="1"/>
  <c r="O848" i="25"/>
  <c r="O587" i="25"/>
  <c r="O894" i="25"/>
  <c r="O632" i="25"/>
  <c r="O936" i="25"/>
  <c r="O959" i="25"/>
  <c r="O127" i="25"/>
  <c r="O550" i="25"/>
  <c r="O1079" i="25"/>
  <c r="O403" i="25"/>
  <c r="O419" i="25"/>
  <c r="O819" i="25"/>
  <c r="O912" i="25"/>
  <c r="O745" i="25"/>
  <c r="O793" i="25"/>
  <c r="J892" i="25"/>
  <c r="O892" i="25" s="1"/>
  <c r="O867" i="25"/>
  <c r="O727" i="24"/>
  <c r="E1734" i="25"/>
  <c r="H1734" i="25" s="1"/>
  <c r="I1735" i="25" s="1"/>
  <c r="J1732" i="25" s="1"/>
  <c r="E1536" i="25"/>
  <c r="H1536" i="25" s="1"/>
  <c r="J438" i="25"/>
  <c r="J365" i="25"/>
  <c r="O365" i="25" s="1"/>
  <c r="J301" i="25"/>
  <c r="J173" i="25"/>
  <c r="J891" i="25"/>
  <c r="O891" i="25" s="1"/>
  <c r="K1759" i="25"/>
  <c r="L1763" i="25" s="1"/>
  <c r="L1764" i="25" s="1"/>
  <c r="L1765" i="25" s="1"/>
  <c r="J657" i="24"/>
  <c r="O657" i="24" s="1"/>
  <c r="J676" i="24"/>
  <c r="O676" i="24" s="1"/>
  <c r="J486" i="24"/>
  <c r="J175" i="24"/>
  <c r="O175" i="24" s="1"/>
  <c r="G261" i="22" l="1"/>
  <c r="G263" i="22" s="1"/>
  <c r="G265" i="22" s="1"/>
  <c r="D258" i="22"/>
  <c r="D259" i="22" s="1"/>
  <c r="O1732" i="25"/>
  <c r="O1193" i="24"/>
  <c r="O357" i="24"/>
  <c r="O486" i="24"/>
  <c r="O438" i="25"/>
  <c r="J200" i="25"/>
  <c r="O200" i="25" s="1"/>
  <c r="O173" i="25"/>
  <c r="J364" i="25"/>
  <c r="O364" i="25" s="1"/>
  <c r="O301" i="25"/>
  <c r="K1760" i="25"/>
  <c r="K1761" i="25" s="1"/>
  <c r="G266" i="22" l="1"/>
  <c r="G267" i="22" s="1"/>
  <c r="M1010" i="24" l="1"/>
  <c r="K1409" i="24" s="1"/>
  <c r="K1410" i="24" l="1"/>
  <c r="O1409" i="24"/>
  <c r="L1413" i="24"/>
  <c r="L1414" i="24" s="1"/>
  <c r="L1415" i="24" s="1"/>
  <c r="K1411" i="24" l="1"/>
  <c r="O1411" i="24" s="1"/>
  <c r="O1410" i="24"/>
</calcChain>
</file>

<file path=xl/sharedStrings.xml><?xml version="1.0" encoding="utf-8"?>
<sst xmlns="http://schemas.openxmlformats.org/spreadsheetml/2006/main" count="3851" uniqueCount="683">
  <si>
    <t>WC à l'anglaise à chasse basse</t>
  </si>
  <si>
    <t>ML</t>
  </si>
  <si>
    <t>Designation des ouvrages</t>
  </si>
  <si>
    <t>U.</t>
  </si>
  <si>
    <t>M2</t>
  </si>
  <si>
    <t>M3</t>
  </si>
  <si>
    <t>Béton de propreté</t>
  </si>
  <si>
    <t>Dallette couvre-joints de dilatation</t>
  </si>
  <si>
    <t>Relief d'étancheité</t>
  </si>
  <si>
    <t>Protection de relief d'étanchéité</t>
  </si>
  <si>
    <t>401 - MENUISERIE BOIS - QUINCAILLERIE</t>
  </si>
  <si>
    <t>Mat de drapeau</t>
  </si>
  <si>
    <t>Boîte de raccordement</t>
  </si>
  <si>
    <t>Sonnerie de logement</t>
  </si>
  <si>
    <t>Sirène</t>
  </si>
  <si>
    <t>504-01</t>
  </si>
  <si>
    <t>504-02</t>
  </si>
  <si>
    <t>504-03</t>
  </si>
  <si>
    <t>505-01</t>
  </si>
  <si>
    <t>505-02</t>
  </si>
  <si>
    <t xml:space="preserve">601 - RESEAU EXTERIEUR  </t>
  </si>
  <si>
    <t>601-01</t>
  </si>
  <si>
    <t>601-02</t>
  </si>
  <si>
    <t>601-03</t>
  </si>
  <si>
    <t>601-04</t>
  </si>
  <si>
    <t>602-01</t>
  </si>
  <si>
    <t>604-01</t>
  </si>
  <si>
    <t>604-02</t>
  </si>
  <si>
    <t xml:space="preserve">WC à la turque </t>
  </si>
  <si>
    <t>800-01</t>
  </si>
  <si>
    <t>800-02</t>
  </si>
  <si>
    <t>800-03</t>
  </si>
  <si>
    <t>800-04</t>
  </si>
  <si>
    <t>602-04</t>
  </si>
  <si>
    <t xml:space="preserve">Montant </t>
  </si>
  <si>
    <t>Maçonnerie de moellons en fondation</t>
  </si>
  <si>
    <t>Plancher hourdis, y compris aciers</t>
  </si>
  <si>
    <t xml:space="preserve">Claustras en béton </t>
  </si>
  <si>
    <t>504-05</t>
  </si>
  <si>
    <t>603-09</t>
  </si>
  <si>
    <t>402 - MENUISERIE ALUMINIUM - QUINCAILLERIE</t>
  </si>
  <si>
    <t>403 - MENUISERIE METALLIQUE - QUINCAILLERIE</t>
  </si>
  <si>
    <t xml:space="preserve">404 - DIVERS : </t>
  </si>
  <si>
    <t>503-05</t>
  </si>
  <si>
    <t xml:space="preserve">600 - PLOMBERIE SANITAIRE - PROTECTION INCENDIE </t>
  </si>
  <si>
    <t>602-02</t>
  </si>
  <si>
    <t>602-05</t>
  </si>
  <si>
    <t>603 - APPAREILS SANITAIRES</t>
  </si>
  <si>
    <t>603-02</t>
  </si>
  <si>
    <t>603-04</t>
  </si>
  <si>
    <t>603-05</t>
  </si>
  <si>
    <t>603-06</t>
  </si>
  <si>
    <t>603-07</t>
  </si>
  <si>
    <t>Evier inoxydable à 1 bac EF + EC</t>
  </si>
  <si>
    <t>603-08</t>
  </si>
  <si>
    <t>603-10</t>
  </si>
  <si>
    <t xml:space="preserve">604 - PROTECTION INCENDIE </t>
  </si>
  <si>
    <t>700-01</t>
  </si>
  <si>
    <t>700-02</t>
  </si>
  <si>
    <t>700-03</t>
  </si>
  <si>
    <t>700-05</t>
  </si>
  <si>
    <t>900-01</t>
  </si>
  <si>
    <t>800-05</t>
  </si>
  <si>
    <t>800-06</t>
  </si>
  <si>
    <t>800-07</t>
  </si>
  <si>
    <t>900-02</t>
  </si>
  <si>
    <t>900-03</t>
  </si>
  <si>
    <t>900-04</t>
  </si>
  <si>
    <t>Circuit  équipotentiel</t>
  </si>
  <si>
    <t>602-06</t>
  </si>
  <si>
    <t>603-01</t>
  </si>
  <si>
    <t>603-11</t>
  </si>
  <si>
    <t xml:space="preserve">Chauffe eau solaire </t>
  </si>
  <si>
    <t>504-04</t>
  </si>
  <si>
    <t>602-07</t>
  </si>
  <si>
    <t>N°</t>
  </si>
  <si>
    <t>U</t>
  </si>
  <si>
    <t>Gros béton</t>
  </si>
  <si>
    <t>Arase étanche</t>
  </si>
  <si>
    <t>kg</t>
  </si>
  <si>
    <t>Renformis en béton</t>
  </si>
  <si>
    <t>Robinet d’incendie armé R.I.A</t>
  </si>
  <si>
    <t>Cloison en agglos de 10cm</t>
  </si>
  <si>
    <t>Prix Unitaire H.T.</t>
  </si>
  <si>
    <t>Enduit intérieur au mortier  de ciment y compris baguettes d'angle métalliques</t>
  </si>
  <si>
    <t>Vannes et robinet d'arrêt à l'intérieur tout diamétre</t>
  </si>
  <si>
    <t>Extincteur à poudre polyvalente 6kg</t>
  </si>
  <si>
    <t>Peinture glycérophtalique laquée sur menuiserie bois</t>
  </si>
  <si>
    <t xml:space="preserve">Peinture glycérophtalique laquée sur menuiserie métallique     </t>
  </si>
  <si>
    <t>Peinture glycérophtalique laqué sur murs et plafonds intérieurs</t>
  </si>
  <si>
    <t>Regard de tirage de 40x40x50cm</t>
  </si>
  <si>
    <t>Banc extérieur en béton armé de 2,00 x 0,60 m, y compris finition</t>
  </si>
  <si>
    <t xml:space="preserve">Placards avec grenier </t>
  </si>
  <si>
    <t>Grilles de défense</t>
  </si>
  <si>
    <t xml:space="preserve">Lavabo collectif  à 2 robinets </t>
  </si>
  <si>
    <t xml:space="preserve">Receveur de douche </t>
  </si>
  <si>
    <t>TOTAL TERRASSEMENT</t>
  </si>
  <si>
    <t>TOTAL MACONNERIE EN FONDATION</t>
  </si>
  <si>
    <t>TOTAL DALLAGES ET FORME</t>
  </si>
  <si>
    <t>TOTAL BETON ARME EN FONDATION</t>
  </si>
  <si>
    <t>TOTAL CANALISATION ET REGARDS</t>
  </si>
  <si>
    <t>TOTAL BETON ARME EN ELEVATION</t>
  </si>
  <si>
    <t>TOTAL MACONNERIE EN ELEVATION</t>
  </si>
  <si>
    <t xml:space="preserve"> TOTAL ENDUIT</t>
  </si>
  <si>
    <t>TOTAL DIVERS</t>
  </si>
  <si>
    <t>TOTAL GROS ŒUVRES</t>
  </si>
  <si>
    <t>TOTAL REVETEMENT</t>
  </si>
  <si>
    <t xml:space="preserve"> TOTAL D'ETANCHEITE</t>
  </si>
  <si>
    <t>TOTAL MENUISERIE BOIS QUINCAILLERIE</t>
  </si>
  <si>
    <t>TOTAL MENUISERIE ALIMINIUM</t>
  </si>
  <si>
    <t>TOTAL MENUISERIE METALLIQUE  - QUINCAILLERIE</t>
  </si>
  <si>
    <t>TOTAL MENUISERIE BOIS -ALUMINIUM -  METALLIQUE  - DIVERS</t>
  </si>
  <si>
    <t>TOTAL ELECTRICITE</t>
  </si>
  <si>
    <t>TOTAL PLOMBERIE - SANITAIRE</t>
  </si>
  <si>
    <t>TOTAL PEINTURE</t>
  </si>
  <si>
    <t>TOTAL TERRAIN DE SPORT</t>
  </si>
  <si>
    <t>TOTAL PLANTATION</t>
  </si>
  <si>
    <t>TOTAL H.T.</t>
  </si>
  <si>
    <t xml:space="preserve"> T.V.A.  20%</t>
  </si>
  <si>
    <t>TOTAL GENERAL T.T.C</t>
  </si>
  <si>
    <t>Forme de pente y compris Chape de lissage</t>
  </si>
  <si>
    <t xml:space="preserve">Porte métallique </t>
  </si>
  <si>
    <t>Portes métalliques vitrées</t>
  </si>
  <si>
    <t xml:space="preserve">Tableau de protection équipe </t>
  </si>
  <si>
    <t>Foyer simple allumage</t>
  </si>
  <si>
    <t>Poteau d'incendie</t>
  </si>
  <si>
    <t xml:space="preserve">Comptoir bibliothèque, y compris finition </t>
  </si>
  <si>
    <t>Dalle lumineuse LED de 60x60cm</t>
  </si>
  <si>
    <t xml:space="preserve">Cuvette de laboratoire </t>
  </si>
  <si>
    <t xml:space="preserve">Jacaranda </t>
  </si>
  <si>
    <t>Palmier washingtonia</t>
  </si>
  <si>
    <t>Hibiscus couleur rouge, saumon, jaune et blanc</t>
  </si>
  <si>
    <t>Apport de terre végétale y compris Biocompost</t>
  </si>
  <si>
    <t xml:space="preserve">Gueulard en PVC </t>
  </si>
  <si>
    <t>Vanne d'arrêt dans regard de tout diamètre</t>
  </si>
  <si>
    <t xml:space="preserve">Regard pour vanne d'arrêt </t>
  </si>
  <si>
    <t>Câble 4x25mm2 + T</t>
  </si>
  <si>
    <t>Câble 4x16mm2 + T</t>
  </si>
  <si>
    <t>Câble 4x10mm2 + T</t>
  </si>
  <si>
    <t>Câble 4x6mm2 + T</t>
  </si>
  <si>
    <t>100 - GROS OEUVRES</t>
  </si>
  <si>
    <t>101 - TERRASSEMENTS</t>
  </si>
  <si>
    <t>101-01</t>
  </si>
  <si>
    <t>101-02</t>
  </si>
  <si>
    <t>101-03</t>
  </si>
  <si>
    <t>101-04</t>
  </si>
  <si>
    <t>102 - MACONNERIE EN FONDATION</t>
  </si>
  <si>
    <t>102-01</t>
  </si>
  <si>
    <t>102-02</t>
  </si>
  <si>
    <t>102-03</t>
  </si>
  <si>
    <t>102-04</t>
  </si>
  <si>
    <t>103 - DALLAGE ET FORME</t>
  </si>
  <si>
    <t>103-01</t>
  </si>
  <si>
    <t>103-02</t>
  </si>
  <si>
    <t>103-03</t>
  </si>
  <si>
    <t>104 - BETON ARME EN FONDATION</t>
  </si>
  <si>
    <t>104-01</t>
  </si>
  <si>
    <t>104-02</t>
  </si>
  <si>
    <t>105-01</t>
  </si>
  <si>
    <t>105-02</t>
  </si>
  <si>
    <t>105-03</t>
  </si>
  <si>
    <t>105-04</t>
  </si>
  <si>
    <t>105-05</t>
  </si>
  <si>
    <t>106 - BETON ARME EN ELEVATION</t>
  </si>
  <si>
    <t>106-01</t>
  </si>
  <si>
    <t>106-02</t>
  </si>
  <si>
    <t>106-03</t>
  </si>
  <si>
    <t>106-04</t>
  </si>
  <si>
    <t>106-05</t>
  </si>
  <si>
    <t>106-06</t>
  </si>
  <si>
    <t>107 - MACONNERIE EN ELEVATION</t>
  </si>
  <si>
    <t>107-01</t>
  </si>
  <si>
    <t>107-03</t>
  </si>
  <si>
    <t>107-04</t>
  </si>
  <si>
    <t>107-05</t>
  </si>
  <si>
    <t>107-06</t>
  </si>
  <si>
    <t>108-01</t>
  </si>
  <si>
    <t>108 - ENDUITS</t>
  </si>
  <si>
    <t>108-02</t>
  </si>
  <si>
    <t>108-03</t>
  </si>
  <si>
    <t>108-04</t>
  </si>
  <si>
    <t>109 - DIVERS</t>
  </si>
  <si>
    <t>109-02</t>
  </si>
  <si>
    <t>109-04</t>
  </si>
  <si>
    <t>109-05</t>
  </si>
  <si>
    <t>109-06</t>
  </si>
  <si>
    <t>109-07</t>
  </si>
  <si>
    <t>109-08</t>
  </si>
  <si>
    <t>109-09</t>
  </si>
  <si>
    <t>200 - ETANCHEITE</t>
  </si>
  <si>
    <t>200-01</t>
  </si>
  <si>
    <t>200-02</t>
  </si>
  <si>
    <t>200-03</t>
  </si>
  <si>
    <t>200-04</t>
  </si>
  <si>
    <t>200-05</t>
  </si>
  <si>
    <t>200-08</t>
  </si>
  <si>
    <t>200-09</t>
  </si>
  <si>
    <t>300-01</t>
  </si>
  <si>
    <t>300-02</t>
  </si>
  <si>
    <t>300-03</t>
  </si>
  <si>
    <t>300-04</t>
  </si>
  <si>
    <t>300-05</t>
  </si>
  <si>
    <t>300-07</t>
  </si>
  <si>
    <t>300-08</t>
  </si>
  <si>
    <t>300-11</t>
  </si>
  <si>
    <t>300-12</t>
  </si>
  <si>
    <t>300-13</t>
  </si>
  <si>
    <t>401-01</t>
  </si>
  <si>
    <t>401-03</t>
  </si>
  <si>
    <t>402-01</t>
  </si>
  <si>
    <t>403-01</t>
  </si>
  <si>
    <t>403-02</t>
  </si>
  <si>
    <t>403-03</t>
  </si>
  <si>
    <t>404-01</t>
  </si>
  <si>
    <t>404-02</t>
  </si>
  <si>
    <t>404-03</t>
  </si>
  <si>
    <t>404-04</t>
  </si>
  <si>
    <t>404-05</t>
  </si>
  <si>
    <t>500 - ELECTRICITE - LUSTRERIE</t>
  </si>
  <si>
    <t>501 - ALIMENTATION PRINCIPALE</t>
  </si>
  <si>
    <t>501-01</t>
  </si>
  <si>
    <t>501-02</t>
  </si>
  <si>
    <t>501-03</t>
  </si>
  <si>
    <t>501-04</t>
  </si>
  <si>
    <t>501-05</t>
  </si>
  <si>
    <t>501-06</t>
  </si>
  <si>
    <t>501-06-a</t>
  </si>
  <si>
    <t>501-06-c</t>
  </si>
  <si>
    <t>501-06-b</t>
  </si>
  <si>
    <t>501-06-d</t>
  </si>
  <si>
    <t>501-07</t>
  </si>
  <si>
    <t>501-08</t>
  </si>
  <si>
    <t>501-10</t>
  </si>
  <si>
    <t xml:space="preserve">502 - FOYERS </t>
  </si>
  <si>
    <t>502-01</t>
  </si>
  <si>
    <t>502-02</t>
  </si>
  <si>
    <t>502-03</t>
  </si>
  <si>
    <t>502-04</t>
  </si>
  <si>
    <t>502-05</t>
  </si>
  <si>
    <t>503 - PRISES :</t>
  </si>
  <si>
    <t>503-01</t>
  </si>
  <si>
    <t>503-02</t>
  </si>
  <si>
    <t>503-03</t>
  </si>
  <si>
    <t>503-04</t>
  </si>
  <si>
    <t>504 - LUSTRERIE :</t>
  </si>
  <si>
    <t xml:space="preserve">505 - DIVERS </t>
  </si>
  <si>
    <t>602-03</t>
  </si>
  <si>
    <t>de 300 litres</t>
  </si>
  <si>
    <t>de 150 litres</t>
  </si>
  <si>
    <t>604-03</t>
  </si>
  <si>
    <t>604-04</t>
  </si>
  <si>
    <t xml:space="preserve">700- PEINTURE </t>
  </si>
  <si>
    <t>800 - TERRAINS DE SPORT</t>
  </si>
  <si>
    <t>900 - PLANTATION</t>
  </si>
  <si>
    <t>Fouilles en puits, en tranchées et en rigoles dans tout terrain, y compris rocher</t>
  </si>
  <si>
    <t>Hérissonne en pierres sèches de 20 cm</t>
  </si>
  <si>
    <t>Béton armé en fondations pour tous ouvrages</t>
  </si>
  <si>
    <t xml:space="preserve">Acier à haute adhérence en fondations </t>
  </si>
  <si>
    <t>105 - CANALISATION-REGARDS</t>
  </si>
  <si>
    <t xml:space="preserve">Regards pour évacuation </t>
  </si>
  <si>
    <t>105-02-a</t>
  </si>
  <si>
    <t>105-02-b</t>
  </si>
  <si>
    <t xml:space="preserve"> de 40x40 cm non Visitable </t>
  </si>
  <si>
    <t xml:space="preserve">de 60x60 cm Visitable  </t>
  </si>
  <si>
    <t xml:space="preserve">Aciers à haute adhérence en élévation </t>
  </si>
  <si>
    <t xml:space="preserve">Dallette en béton légèrement armé y compris aciers </t>
  </si>
  <si>
    <t xml:space="preserve">Appuis de fenêtre en béton armé y compris aciers </t>
  </si>
  <si>
    <t>Double cloison en agglos de 20+10cm</t>
  </si>
  <si>
    <t>Taloche en plâtre pour plafonds</t>
  </si>
  <si>
    <t>Façon de dessus et nez d'acrotère, y compris larmier</t>
  </si>
  <si>
    <t>Banquettes en béton armé y compris finition pour vestiaires</t>
  </si>
  <si>
    <t>Protection d'étanchéité par dalots en béton</t>
  </si>
  <si>
    <t>300 - REVETEMENT SOL ET MURS:</t>
  </si>
  <si>
    <t>Revêtement mural en carreaux de faïence y compris frise</t>
  </si>
  <si>
    <t xml:space="preserve">Portillons sous paillasse </t>
  </si>
  <si>
    <t xml:space="preserve">Rideaux d'obscurcissement </t>
  </si>
  <si>
    <t xml:space="preserve">Coffret de compteur </t>
  </si>
  <si>
    <t>Boite de coupure étanche ou de distributions étanche</t>
  </si>
  <si>
    <t xml:space="preserve">Mise à la terre technique               </t>
  </si>
  <si>
    <t>Prise de courant étanche 16A+T</t>
  </si>
  <si>
    <t>Prise de courant 16A +T</t>
  </si>
  <si>
    <t xml:space="preserve">Prise de téléphone </t>
  </si>
  <si>
    <t>prise télévision –parabole</t>
  </si>
  <si>
    <t>Projecteur LED étanche 100w</t>
  </si>
  <si>
    <t>Branchement eau potable</t>
  </si>
  <si>
    <t xml:space="preserve">602 - RESEAU INTERIEUR </t>
  </si>
  <si>
    <t>Robinet de service</t>
  </si>
  <si>
    <t>Bouche d’arrosage</t>
  </si>
  <si>
    <t>Forme de Béton de 0,13m d’épaisseur, y compris aciers</t>
  </si>
  <si>
    <t>Béton armé en élévation pour tous ouvrages</t>
  </si>
  <si>
    <t>Caniveau en béton de 40x 60cm  de section</t>
  </si>
  <si>
    <t>Contre marche en faïence</t>
  </si>
  <si>
    <t>400 -MENUISERIE BOIS -ALUMINIUM - METALLIQUE - DIVERS - QUINCAILLERIE</t>
  </si>
  <si>
    <t xml:space="preserve">Câble U 1000 R 12 ou U 100 RO 2 V   </t>
  </si>
  <si>
    <t>Foyer supplémentaire</t>
  </si>
  <si>
    <t>Canalisation en PPR encastrée ou apparente tout diamètre</t>
  </si>
  <si>
    <t xml:space="preserve">Terrain volley ball, y compris équipement </t>
  </si>
  <si>
    <t>Terrain hand ball, y compris équipement</t>
  </si>
  <si>
    <t>Terrain basket ball, y compris équipement</t>
  </si>
  <si>
    <t>Branchement électrique au réseau ONE</t>
  </si>
  <si>
    <t>Vasque encastré</t>
  </si>
  <si>
    <t>Extincteur à CO2 9kg</t>
  </si>
  <si>
    <t>Hublot étanche LED et applique murale étanche LED</t>
  </si>
  <si>
    <t>Blocs de secours LED</t>
  </si>
  <si>
    <t xml:space="preserve">Cloison en agglos de 20 cm </t>
  </si>
  <si>
    <t>Niche compteur d'eau potable</t>
  </si>
  <si>
    <t xml:space="preserve">Lance poids </t>
  </si>
  <si>
    <t xml:space="preserve">Sautoir en longueur </t>
  </si>
  <si>
    <t xml:space="preserve">Sautoir en hauteur </t>
  </si>
  <si>
    <t>Peinture vinylique sur murs et plafonds intérieurs, y compris colle</t>
  </si>
  <si>
    <t>800-08</t>
  </si>
  <si>
    <t xml:space="preserve">Portique de corde à grimper </t>
  </si>
  <si>
    <t>Fouilles en pleine masse dans tous terrains y  compris évacuation à la décharge publique</t>
  </si>
  <si>
    <t>Gaine de ventilation ou conduite de fumée y compris souche</t>
  </si>
  <si>
    <t>Gargouille en plomb de 3 mm, y compris crapaudine</t>
  </si>
  <si>
    <t>Tableau général basse tension</t>
  </si>
  <si>
    <t>Foyer double allumage</t>
  </si>
  <si>
    <t>Foyer va et vient</t>
  </si>
  <si>
    <t>Foyer à boutons poussoir</t>
  </si>
  <si>
    <t xml:space="preserve">Puits perdu </t>
  </si>
  <si>
    <t>105-01-a</t>
  </si>
  <si>
    <t>105-01-b</t>
  </si>
  <si>
    <t>de 200 de diamètre</t>
  </si>
  <si>
    <t>de 315 de diamètre</t>
  </si>
  <si>
    <t>Canalisation en PVC pour évacuation</t>
  </si>
  <si>
    <t>Fosse septique en Béton armé</t>
  </si>
  <si>
    <t>Mur de clôture de 2,00 m de hauteur y compris claire voie</t>
  </si>
  <si>
    <t xml:space="preserve">Mur de clôture de 2,00 m de hauteur en agglos </t>
  </si>
  <si>
    <t>Etanchéité verticales pour batiments</t>
  </si>
  <si>
    <t xml:space="preserve">Fenêtres en aluminium vitrées </t>
  </si>
  <si>
    <t>Meuble Rayonnage en bois massif</t>
  </si>
  <si>
    <t>Piste d`athlétisme (90 m) (6 couloirs de 115 cm) + départ et arrivé</t>
  </si>
  <si>
    <t xml:space="preserve">Plafonnier LED </t>
  </si>
  <si>
    <t xml:space="preserve">Lavabo sur colonne </t>
  </si>
  <si>
    <t xml:space="preserve">Installation informatique </t>
  </si>
  <si>
    <t>Dallage reflué pour rampe</t>
  </si>
  <si>
    <t>107-02</t>
  </si>
  <si>
    <t>109-03</t>
  </si>
  <si>
    <t>200-07</t>
  </si>
  <si>
    <t>300-06</t>
  </si>
  <si>
    <t>300-09</t>
  </si>
  <si>
    <t>300-10</t>
  </si>
  <si>
    <t>401-02</t>
  </si>
  <si>
    <t>402-02</t>
  </si>
  <si>
    <t>403-04</t>
  </si>
  <si>
    <t>503-06</t>
  </si>
  <si>
    <t>504-06</t>
  </si>
  <si>
    <t>603-03</t>
  </si>
  <si>
    <t>700-04</t>
  </si>
  <si>
    <t>Nettoyage et nivellement  et mise à niveau des plates formes</t>
  </si>
  <si>
    <t xml:space="preserve">Apport de tout venant </t>
  </si>
  <si>
    <t>101-05</t>
  </si>
  <si>
    <t>Etanchéité légère</t>
  </si>
  <si>
    <t>Faux plafond modulaire</t>
  </si>
  <si>
    <t xml:space="preserve">Châssis en aluminium vitrés </t>
  </si>
  <si>
    <t>Mains courante en tube rond de tout diamètre</t>
  </si>
  <si>
    <t>Prise informatique</t>
  </si>
  <si>
    <t>Réglette sanitaire LED</t>
  </si>
  <si>
    <t>Peinture vinylique sur façades</t>
  </si>
  <si>
    <t>a</t>
  </si>
  <si>
    <t>b</t>
  </si>
  <si>
    <t>c</t>
  </si>
  <si>
    <t>De 15 + 5 à 7 cm</t>
  </si>
  <si>
    <t>De 20 + 5 à 7 cm</t>
  </si>
  <si>
    <t>De 25 + 5 à 7 cm</t>
  </si>
  <si>
    <t>108-05</t>
  </si>
  <si>
    <t>Tablettes ou paillasses (construction et revêtement)</t>
  </si>
  <si>
    <t xml:space="preserve">Revêtements sol en carreaux grés-cérame anti-déparant </t>
  </si>
  <si>
    <t>Revetement sol en granito poli blanc</t>
  </si>
  <si>
    <t>Plinthe droite et rampante en mignonnette lavé de 0,10m de h</t>
  </si>
  <si>
    <t>Revêtement sol en Autobloquant</t>
  </si>
  <si>
    <t>Plinthes céramiques de 7cm  de hauteur</t>
  </si>
  <si>
    <t>300-14</t>
  </si>
  <si>
    <t xml:space="preserve">Dallage lisse pour récréation, </t>
  </si>
  <si>
    <t>Dallage peripherique en béton</t>
  </si>
  <si>
    <t>401-05</t>
  </si>
  <si>
    <t>ml</t>
  </si>
  <si>
    <t xml:space="preserve">Enduits extérieur au mortier de ciment teinté dans la masse </t>
  </si>
  <si>
    <t>Branchement au réseaux de d'assainissement</t>
  </si>
  <si>
    <t>604-05</t>
  </si>
  <si>
    <t>Canalisation en PVC DN 110  PN 16</t>
  </si>
  <si>
    <t>604-06</t>
  </si>
  <si>
    <t>Canalisation en PER DN 16</t>
  </si>
  <si>
    <t>602-08</t>
  </si>
  <si>
    <t>602-09</t>
  </si>
  <si>
    <t>105-01-c</t>
  </si>
  <si>
    <t>de 215 de diamètre</t>
  </si>
  <si>
    <t>105-02-c</t>
  </si>
  <si>
    <t xml:space="preserve">de 50x50 cm Visitable  </t>
  </si>
  <si>
    <t>105-06</t>
  </si>
  <si>
    <t>105-07</t>
  </si>
  <si>
    <t>Regard de visite 1x1 y compris tampon C250</t>
  </si>
  <si>
    <t>a) Ø 63</t>
  </si>
  <si>
    <t>b) Ø 50</t>
  </si>
  <si>
    <t>c) Ø 40</t>
  </si>
  <si>
    <t>d) Ø 32</t>
  </si>
  <si>
    <t>e) Ø 25</t>
  </si>
  <si>
    <t>a) de 4 départs</t>
  </si>
  <si>
    <t>b) de 6 départs</t>
  </si>
  <si>
    <t>c) de 8 départs</t>
  </si>
  <si>
    <t>Equipement collecteur y / c Coffret De Distribution Eau Froide Tout Départ</t>
  </si>
  <si>
    <t>Equipement collecteur y / c Coffret De Distribution Mixte Tout Depart</t>
  </si>
  <si>
    <t>Murette en pierre jaune de 0,40m de largeur et 0,70m de hauteur</t>
  </si>
  <si>
    <t>109-01</t>
  </si>
  <si>
    <t xml:space="preserve">Revêtement des sols et murs en mignonnette lavé </t>
  </si>
  <si>
    <t>Marche en mignonnette lavé, y compris nez de marche</t>
  </si>
  <si>
    <t>401-04</t>
  </si>
  <si>
    <t>Enseigne des blocs  en  plexiglace  de  0.25 x 0.15 m</t>
  </si>
  <si>
    <t>601-05</t>
  </si>
  <si>
    <t>a) Ø 100</t>
  </si>
  <si>
    <t>b) Ø 125</t>
  </si>
  <si>
    <t>c) Ø 160</t>
  </si>
  <si>
    <t>Fourniture et pose d’un siphon de sol de D200</t>
  </si>
  <si>
    <t xml:space="preserve">Siege à l’anglaise pour personne à mobilité réduite </t>
  </si>
  <si>
    <t>603-11-a</t>
  </si>
  <si>
    <t>604-06-a</t>
  </si>
  <si>
    <t>604-06-b</t>
  </si>
  <si>
    <t xml:space="preserve"> DN 50/60</t>
  </si>
  <si>
    <t xml:space="preserve"> DN 40/49</t>
  </si>
  <si>
    <t>900-05</t>
  </si>
  <si>
    <t xml:space="preserve">Fourniture et plantation du gazon </t>
  </si>
  <si>
    <t>NBR</t>
  </si>
  <si>
    <t>à déduire</t>
  </si>
  <si>
    <t>Administration</t>
  </si>
  <si>
    <t>F</t>
  </si>
  <si>
    <t>OUV</t>
  </si>
  <si>
    <t>TOTAL HORS T.V.A</t>
  </si>
  <si>
    <t>RABAIS OU MAJORATION EN POURCENTAGE</t>
  </si>
  <si>
    <t>RABAIS OU MAJORATION EN VALEUR</t>
  </si>
  <si>
    <t>TOTAL HT APRES RABAIS OU MAJORATION</t>
  </si>
  <si>
    <t xml:space="preserve">TVA 20 % </t>
  </si>
  <si>
    <t xml:space="preserve">TOTAL TTC </t>
  </si>
  <si>
    <t>Les travaux d'achèvement de construction du lycée qualifiant AL KOUTOUBIA à la Commune Rurale Drarga - préfecture d’Agadir Idaoutanane</t>
  </si>
  <si>
    <t>BORDEREAU DES PRIX DETAIL ESTIMATIF (AOO AU RABAIS OU A MAJORATION N°42/2021/INV-AGA) - Lot unique -</t>
  </si>
  <si>
    <r>
      <t>Quantité 2</t>
    </r>
    <r>
      <rPr>
        <vertAlign val="superscript"/>
        <sz val="9"/>
        <rFont val="Times New Roman"/>
        <family val="1"/>
      </rPr>
      <t>eme</t>
    </r>
    <r>
      <rPr>
        <sz val="9"/>
        <rFont val="Times New Roman"/>
        <family val="1"/>
      </rPr>
      <t xml:space="preserve"> marché</t>
    </r>
  </si>
  <si>
    <t>Mise en remblais ou Evacuation à la décharge publique</t>
  </si>
  <si>
    <t>Regard a grille 0.4 x 0.70 y compris tampon C250 et appareil siphoïde</t>
  </si>
  <si>
    <t>Enduit tyrolien sur façades</t>
  </si>
  <si>
    <t>Couvre joint pour joint de separation ou de dilatation</t>
  </si>
  <si>
    <t>Etanchéité bicouche</t>
  </si>
  <si>
    <t>Etanchéité bicouche autoprotegé</t>
  </si>
  <si>
    <t>Dallage en béton arme y compris double nappe pour parking</t>
  </si>
  <si>
    <t xml:space="preserve">Portes massive en sapin rouge </t>
  </si>
  <si>
    <t>Portes isoplane en sapin rouge</t>
  </si>
  <si>
    <t>Portes à lames en sapin rouge</t>
  </si>
  <si>
    <t>Enseigne avec caractère en plexiglas ou forex  de 3.00 X 0.80 m</t>
  </si>
  <si>
    <t>Distribution principale en polyéthylène tous diamètres de section appropriée haute densité PEHD</t>
  </si>
  <si>
    <r>
      <t xml:space="preserve">a) </t>
    </r>
    <r>
      <rPr>
        <sz val="11"/>
        <rFont val="Times New Roman"/>
        <family val="1"/>
      </rPr>
      <t>Ø 50</t>
    </r>
  </si>
  <si>
    <r>
      <t xml:space="preserve">b) </t>
    </r>
    <r>
      <rPr>
        <sz val="11"/>
        <rFont val="Times New Roman"/>
        <family val="1"/>
      </rPr>
      <t>Ø 40</t>
    </r>
  </si>
  <si>
    <r>
      <t xml:space="preserve">c) </t>
    </r>
    <r>
      <rPr>
        <sz val="11"/>
        <rFont val="Times New Roman"/>
        <family val="1"/>
      </rPr>
      <t>Ø 32</t>
    </r>
  </si>
  <si>
    <r>
      <t xml:space="preserve">d) </t>
    </r>
    <r>
      <rPr>
        <sz val="11"/>
        <rFont val="Times New Roman"/>
        <family val="1"/>
      </rPr>
      <t>Ø 25</t>
    </r>
  </si>
  <si>
    <t>Canalisation en PVC tout diamètre</t>
  </si>
  <si>
    <t>Equipement des douches collectives 5 places</t>
  </si>
  <si>
    <t>603-11-b</t>
  </si>
  <si>
    <t>Alimentation RIA en TFG encastrée ou apparente tout diamètre</t>
  </si>
  <si>
    <t xml:space="preserve">ARRETE LE PRESENT BPDE A LA SOMME TTC DE : Sept millions trois cent soixante un mille quarante deux  dirhams et 30  cts TTC </t>
  </si>
  <si>
    <t>Quantité</t>
  </si>
  <si>
    <t>LARG</t>
  </si>
  <si>
    <t>LONG</t>
  </si>
  <si>
    <t>HT/EP</t>
  </si>
  <si>
    <t xml:space="preserve">resultat </t>
  </si>
  <si>
    <t>_ pour chainages</t>
  </si>
  <si>
    <t>_ pour semelles</t>
  </si>
  <si>
    <t>_ pour longrines</t>
  </si>
  <si>
    <t>CLASSES D'ENSEIGEMENTS GENERALE</t>
  </si>
  <si>
    <t>ADMINISTRATION</t>
  </si>
  <si>
    <t>BLOC SANITAIRE</t>
  </si>
  <si>
    <t>GUERITE</t>
  </si>
  <si>
    <t xml:space="preserve">_ départ escalier </t>
  </si>
  <si>
    <t>_ pour massifs</t>
  </si>
  <si>
    <t>_ pour amorces poteaux</t>
  </si>
  <si>
    <t>_ pour poutres</t>
  </si>
  <si>
    <t>_ pour acrotéres</t>
  </si>
  <si>
    <t>_ pour poteaux</t>
  </si>
  <si>
    <t>Plancher haut RDC</t>
  </si>
  <si>
    <r>
      <t>Plancher haut 1</t>
    </r>
    <r>
      <rPr>
        <vertAlign val="superscript"/>
        <sz val="9"/>
        <rFont val="Times New Roman"/>
        <family val="1"/>
      </rPr>
      <t>ére</t>
    </r>
    <r>
      <rPr>
        <sz val="9"/>
        <rFont val="Times New Roman"/>
        <family val="1"/>
      </rPr>
      <t xml:space="preserve"> ETAGE</t>
    </r>
  </si>
  <si>
    <t>Plancher hourdis, y compris aciers de toute epaisseur</t>
  </si>
  <si>
    <t>PL</t>
  </si>
  <si>
    <t>_ Bureau de directeur</t>
  </si>
  <si>
    <t>_ Secretariat</t>
  </si>
  <si>
    <t xml:space="preserve">à déduire </t>
  </si>
  <si>
    <t>P</t>
  </si>
  <si>
    <t xml:space="preserve">_ Classes </t>
  </si>
  <si>
    <t>_ Cage d'escalier</t>
  </si>
  <si>
    <t>_ Garde corps</t>
  </si>
  <si>
    <t>_ Bureau directeur</t>
  </si>
  <si>
    <t>_ Salles des professeurs</t>
  </si>
  <si>
    <t>_ WC Femmes + WC hommes</t>
  </si>
  <si>
    <t>_ Archives</t>
  </si>
  <si>
    <t>_ Entrées</t>
  </si>
  <si>
    <t>_ Lave mains</t>
  </si>
  <si>
    <t>_ WC</t>
  </si>
  <si>
    <t>Enduits extérieur au mortier de ciment ou tyrolien sur façades</t>
  </si>
  <si>
    <t>DP</t>
  </si>
  <si>
    <t>_ Salles de classes</t>
  </si>
  <si>
    <t>_ cage d'escalier</t>
  </si>
  <si>
    <t>_ Entrées + hall</t>
  </si>
  <si>
    <t>_ Galerie</t>
  </si>
  <si>
    <t>101 - DEMOLITIONS &amp; TERRASSEMENTS</t>
  </si>
  <si>
    <t>Travaux de démolitions y compris évacuations à la décharge publique</t>
  </si>
  <si>
    <t>Ens</t>
  </si>
  <si>
    <t>_ cage d'escalier : palier de repos</t>
  </si>
  <si>
    <t>POUR MURS</t>
  </si>
  <si>
    <t>_ Lave main</t>
  </si>
  <si>
    <t>Dallage lisse y compris armatures</t>
  </si>
  <si>
    <t>EXTENSIONS</t>
  </si>
  <si>
    <t>EXISTANTS</t>
  </si>
  <si>
    <t>Classes R+1</t>
  </si>
  <si>
    <t>Classes</t>
  </si>
  <si>
    <t>mur séparatif</t>
  </si>
  <si>
    <t>mur façade principale</t>
  </si>
  <si>
    <t>Mur de clôture de 2,00 m de hauteur en agglos y compris acces</t>
  </si>
  <si>
    <t>Revêtement des murs en granito lavé</t>
  </si>
  <si>
    <t xml:space="preserve">Marche en granito lavé, y compris contre marche </t>
  </si>
  <si>
    <t xml:space="preserve">Fenêtres et chassis en aluminium vitrées </t>
  </si>
  <si>
    <t>Lave mains</t>
  </si>
  <si>
    <t>Portes métalliques en tôle perforée</t>
  </si>
  <si>
    <t>Portes métalliques en tôle perforée vitrées</t>
  </si>
  <si>
    <t>portes des entrées</t>
  </si>
  <si>
    <t xml:space="preserve">Porche d'entrée </t>
  </si>
  <si>
    <t>Enseigne des blocs  en  plexiglass</t>
  </si>
  <si>
    <t>Prise télévision –parabole</t>
  </si>
  <si>
    <t>AMENAGEMENT EXTERIEUR</t>
  </si>
  <si>
    <t xml:space="preserve">Coffret De Distribution </t>
  </si>
  <si>
    <t xml:space="preserve">Equipement collecteurs </t>
  </si>
  <si>
    <t>Chauffe eau électrique 75 litres</t>
  </si>
  <si>
    <t>Bibliotheque</t>
  </si>
  <si>
    <t>sur murs</t>
  </si>
  <si>
    <t>sous plafonds</t>
  </si>
  <si>
    <t>Casiers des professeurs</t>
  </si>
  <si>
    <t>LOGEMENT</t>
  </si>
  <si>
    <t>Vasque</t>
  </si>
  <si>
    <t>Revêtement en granit pour paillasse</t>
  </si>
  <si>
    <t>_ Cuisine</t>
  </si>
  <si>
    <t xml:space="preserve">_ pour Cage d'escalier </t>
  </si>
  <si>
    <t>palier</t>
  </si>
  <si>
    <t>marches 20</t>
  </si>
  <si>
    <t>voiles</t>
  </si>
  <si>
    <t>marches 20*2</t>
  </si>
  <si>
    <t xml:space="preserve">Plancher hourdis de toute epaisseur, y compris aciers </t>
  </si>
  <si>
    <t>_ Chambre 1</t>
  </si>
  <si>
    <t>_ SBD</t>
  </si>
  <si>
    <t>_ Chambre 2</t>
  </si>
  <si>
    <t>Claustras</t>
  </si>
  <si>
    <t>_ Salon</t>
  </si>
  <si>
    <t>_ WC  + LM</t>
  </si>
  <si>
    <t>_ Séjour</t>
  </si>
  <si>
    <t>_ Preau</t>
  </si>
  <si>
    <t>_ Buanderie</t>
  </si>
  <si>
    <t xml:space="preserve">_ Préau </t>
  </si>
  <si>
    <t>_ pour escalier de rattrapage</t>
  </si>
  <si>
    <t>Revetement sol en granito poli ordinaire</t>
  </si>
  <si>
    <t>Seuils</t>
  </si>
  <si>
    <t xml:space="preserve">Marche en granito ordinaire, y compris contre marche </t>
  </si>
  <si>
    <t>_ Escalier de rattrapage</t>
  </si>
  <si>
    <t>EXTENSIONS + EXISTANTS</t>
  </si>
  <si>
    <t>Prise de courant 16A +T étanche</t>
  </si>
  <si>
    <t>surs murs</t>
  </si>
  <si>
    <t>AVANT METRE</t>
  </si>
  <si>
    <t>ADMI &amp; SANITAIRE &amp; CLASSES &amp; GUERITE</t>
  </si>
  <si>
    <t>Surface des batiments =</t>
  </si>
  <si>
    <t>m2</t>
  </si>
  <si>
    <t>surface des dalles</t>
  </si>
  <si>
    <t xml:space="preserve">Designation d'ouvrage </t>
  </si>
  <si>
    <t>Unité</t>
  </si>
  <si>
    <t xml:space="preserve">Quantité </t>
  </si>
  <si>
    <t xml:space="preserve">A-TRAVAUX DE TERRASEMENT </t>
  </si>
  <si>
    <t>A1</t>
  </si>
  <si>
    <t>Décapage générale</t>
  </si>
  <si>
    <t>A3</t>
  </si>
  <si>
    <t>m3</t>
  </si>
  <si>
    <t>A4</t>
  </si>
  <si>
    <t>fouille en pleine masse</t>
  </si>
  <si>
    <t>A5</t>
  </si>
  <si>
    <t>B-TRAVAUX DE FONDATION</t>
  </si>
  <si>
    <t>A6</t>
  </si>
  <si>
    <t>A7</t>
  </si>
  <si>
    <t>A8</t>
  </si>
  <si>
    <t>maconnerie de moellon</t>
  </si>
  <si>
    <t>A9</t>
  </si>
  <si>
    <t>araze etanche</t>
  </si>
  <si>
    <t>A10</t>
  </si>
  <si>
    <t>Etancheité verticale pour voiles</t>
  </si>
  <si>
    <t>A11</t>
  </si>
  <si>
    <t>A12</t>
  </si>
  <si>
    <t>A13</t>
  </si>
  <si>
    <t>m²</t>
  </si>
  <si>
    <t>A14</t>
  </si>
  <si>
    <t>dallage peripherique</t>
  </si>
  <si>
    <t>A15</t>
  </si>
  <si>
    <t>herrissonage</t>
  </si>
  <si>
    <t>A16</t>
  </si>
  <si>
    <t>A17</t>
  </si>
  <si>
    <t>A18</t>
  </si>
  <si>
    <t>traitement de joint</t>
  </si>
  <si>
    <t>A19</t>
  </si>
  <si>
    <t>couvre joint metallique</t>
  </si>
  <si>
    <t>A21</t>
  </si>
  <si>
    <t>c/ 25+5 a 7</t>
  </si>
  <si>
    <t>ETANCHEITE</t>
  </si>
  <si>
    <t>A22</t>
  </si>
  <si>
    <t>A23</t>
  </si>
  <si>
    <t>A24</t>
  </si>
  <si>
    <t>A25</t>
  </si>
  <si>
    <t>A26</t>
  </si>
  <si>
    <t>e/ protection relief</t>
  </si>
  <si>
    <t>A27</t>
  </si>
  <si>
    <t xml:space="preserve">Revêtements sol en carreaux grés-cérame </t>
  </si>
  <si>
    <t>Plinthes céramiques de 7cm à 10cm  de hauteur</t>
  </si>
  <si>
    <t>Marche en granito poli ordinaire, y compris nez de marche</t>
  </si>
  <si>
    <t>Contre marche en grés cérame</t>
  </si>
  <si>
    <t>Revêtement mural en carreaux de faïence</t>
  </si>
  <si>
    <t>a) de 4 à 6 départs</t>
  </si>
  <si>
    <t>b) de 6 à 8 départs</t>
  </si>
  <si>
    <t>Coffret De Distribution Tout Départ</t>
  </si>
  <si>
    <t>Canalisation en PER DN 16 de tout diamétre</t>
  </si>
  <si>
    <t>Canalisation en PPR encastrée ou apparente de tout diamètre</t>
  </si>
  <si>
    <t>PROJET : EXTENSION OUED SOUSS</t>
  </si>
  <si>
    <t>MAITRE OUVRAGE: MEN AGADIR</t>
  </si>
  <si>
    <t>Bloc:  SALLE DE CLASSE</t>
  </si>
  <si>
    <t>Surface de batiment =</t>
  </si>
  <si>
    <t>NOMBRE D'ETAGE</t>
  </si>
  <si>
    <t>A2</t>
  </si>
  <si>
    <t>Fouille en puits en tranchées et en rigoles</t>
  </si>
  <si>
    <t>Remblaiment ou Evacuation</t>
  </si>
  <si>
    <t xml:space="preserve">  Gros béton</t>
  </si>
  <si>
    <t>Béton pour Béton armée en Fondation</t>
  </si>
  <si>
    <t>Acier pour Béton armée en Fondation</t>
  </si>
  <si>
    <t>Dalle de forme e=13cm T8 e=15 y/c d'acier</t>
  </si>
  <si>
    <t xml:space="preserve">Béton pour Béton armée en Elevation </t>
  </si>
  <si>
    <t>Acier pour Béton armée en Elevation</t>
  </si>
  <si>
    <t>PLANCHER EN HOURDIS</t>
  </si>
  <si>
    <t>a/ 15+5</t>
  </si>
  <si>
    <t>A20</t>
  </si>
  <si>
    <t>b/ 20+5</t>
  </si>
  <si>
    <t xml:space="preserve">a/ Forme de Pente </t>
  </si>
  <si>
    <t xml:space="preserve">b/ Chape de Lissage </t>
  </si>
  <si>
    <t>c/ Complexe d'étanchéité</t>
  </si>
  <si>
    <t>d/ Reliefs d'étanchéité</t>
  </si>
  <si>
    <t xml:space="preserve">f/ Dallette de protection </t>
  </si>
  <si>
    <t>A28</t>
  </si>
  <si>
    <t>A29</t>
  </si>
  <si>
    <t>h/ Etancheite autoprotegée</t>
  </si>
  <si>
    <t>200-06</t>
  </si>
  <si>
    <t>cuisine</t>
  </si>
  <si>
    <t>QUANTITE TOTAL</t>
  </si>
  <si>
    <t xml:space="preserve">Enduits extérieur au mortier de ciment </t>
  </si>
  <si>
    <t>PRIX UNITAIRE H.T.</t>
  </si>
  <si>
    <t>MONTANT H.T.</t>
  </si>
  <si>
    <t>Gueulard en PVC</t>
  </si>
  <si>
    <t>Revêtement mural en granito lavé</t>
  </si>
  <si>
    <t>Fourniture et pose bordures T1</t>
  </si>
  <si>
    <t>Portillons sous paillasse en aluminium</t>
  </si>
  <si>
    <t>Porte métallique vitrées</t>
  </si>
  <si>
    <t>Enseigne des blocs  en  plexiglass  de  0.25 x 0.15 m</t>
  </si>
  <si>
    <t>501-09</t>
  </si>
  <si>
    <t>Câble U 1000 R 12 ou U 100 RO 2 V  tous diamètres de section appropriée</t>
  </si>
  <si>
    <t>Plafonnier LED de 30*30</t>
  </si>
  <si>
    <t xml:space="preserve">Hublot étanche LED et applique murale étanche LED </t>
  </si>
  <si>
    <t>Plafonnier  LED de 60x60cm</t>
  </si>
  <si>
    <t>Branchement au réseaux d'assainissement</t>
  </si>
  <si>
    <t>101 - DEMOLITION/TERRASSEMENTS</t>
  </si>
  <si>
    <t>a- Démolition d'éléments en béton pour structure vétuste</t>
  </si>
  <si>
    <t>b- Démolition d'éléments en agglos, en pierre ou en structure légère</t>
  </si>
  <si>
    <t>Démolition</t>
  </si>
  <si>
    <t>101-06</t>
  </si>
  <si>
    <t>Equipement collecteurs</t>
  </si>
  <si>
    <t xml:space="preserve">Fourniture et pose d’un siphon de sol </t>
  </si>
  <si>
    <t>APPEL D’OFFRES OUVERT INTERNATIONAL AU RABAIS</t>
  </si>
  <si>
    <t xml:space="preserve">BORDEREAU DES PRIX DETAIL ESTIMATIF </t>
  </si>
  <si>
    <t>TOTAL GENERAL H.T.</t>
  </si>
  <si>
    <t>%</t>
  </si>
  <si>
    <t>TOTAL GENERAL H.T. APRES RABAIS OU MAJORATION</t>
  </si>
  <si>
    <t>T.V.A.20%</t>
  </si>
  <si>
    <t>TOTAL GENERAL T.T.C.</t>
  </si>
  <si>
    <t>100 - GROS-ŒUVRE</t>
  </si>
  <si>
    <t xml:space="preserve">300 - REVETEMENT SOL ET MUR </t>
  </si>
  <si>
    <t>400 - MENUISERIE BOIS, ALUMINIUM ET METALLIQUE</t>
  </si>
  <si>
    <t>600 - PLOMBERIE - SANITAIRE</t>
  </si>
  <si>
    <t>700 - PEINTURE - VITRERIE</t>
  </si>
  <si>
    <t>Terrain de sport polyvalent, y compris équipement</t>
  </si>
  <si>
    <t>Travaux d’extension et découpage de l'école AL FIRDAOUSS relevant de la CT DRARGA - Préfecture d'Agadir Idaoutanane.</t>
  </si>
  <si>
    <t>OU A MAJORATION N° 16/INV-AGA/2026 – LOT 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</si>
</sst>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[$€]_-;\-* #,##0.00\ [$€]_-;_-* &quot;-&quot;??\ [$€]_-;_-@_-"/>
    <numFmt numFmtId="166" formatCode="#,##0.00\ _€"/>
    <numFmt numFmtId="167" formatCode="#,##0.000\ _€"/>
    <numFmt numFmtId="168" formatCode="_-* #,##0.000\ _€_-;\-* #,##0.000\ _€_-;_-* &quot;-&quot;??\ _€_-;_-@_-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omic Sans MS"/>
      <family val="4"/>
    </font>
    <font>
      <b/>
      <sz val="8"/>
      <name val="Comic Sans MS"/>
      <family val="4"/>
    </font>
    <font>
      <sz val="9"/>
      <name val="Comic Sans MS"/>
      <family val="4"/>
    </font>
    <font>
      <b/>
      <sz val="9"/>
      <name val="Comic Sans MS"/>
      <family val="4"/>
    </font>
    <font>
      <b/>
      <u/>
      <sz val="9"/>
      <name val="Comic Sans MS"/>
      <family val="4"/>
    </font>
    <font>
      <u/>
      <sz val="9"/>
      <name val="Comic Sans MS"/>
      <family val="4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b/>
      <sz val="11"/>
      <name val="Comic Sans MS"/>
      <family val="4"/>
    </font>
    <font>
      <b/>
      <sz val="9"/>
      <name val="Times New Roman"/>
      <family val="1"/>
    </font>
    <font>
      <b/>
      <sz val="16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Comic Sans MS"/>
      <family val="4"/>
    </font>
    <font>
      <b/>
      <i/>
      <u/>
      <sz val="9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8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indexed="10"/>
      <name val="Times New Roman"/>
      <family val="1"/>
    </font>
    <font>
      <b/>
      <u/>
      <sz val="10"/>
      <color rgb="FFFF0000"/>
      <name val="Comic Sans MS"/>
      <family val="4"/>
    </font>
    <font>
      <b/>
      <i/>
      <u/>
      <sz val="12"/>
      <name val="Arial"/>
      <family val="2"/>
    </font>
    <font>
      <sz val="9"/>
      <color rgb="FF000000"/>
      <name val="Comic Sans MS"/>
      <family val="4"/>
    </font>
    <font>
      <u/>
      <sz val="9"/>
      <name val="Times New Roman"/>
      <family val="1"/>
    </font>
    <font>
      <u/>
      <sz val="9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8"/>
      <name val="Arial"/>
    </font>
    <font>
      <sz val="20"/>
      <color rgb="FFFF0000"/>
      <name val="Calibri"/>
      <family val="2"/>
      <scheme val="minor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1" fillId="0" borderId="0"/>
  </cellStyleXfs>
  <cellXfs count="302"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19" fillId="0" borderId="0" xfId="0" applyFont="1" applyAlignment="1">
      <alignment vertical="center"/>
    </xf>
    <xf numFmtId="0" fontId="11" fillId="0" borderId="7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13" fillId="0" borderId="0" xfId="0" applyFont="1"/>
    <xf numFmtId="0" fontId="3" fillId="0" borderId="0" xfId="0" applyFont="1"/>
    <xf numFmtId="43" fontId="6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4" fontId="22" fillId="0" borderId="2" xfId="2" applyFont="1" applyFill="1" applyBorder="1" applyAlignment="1" applyProtection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right" vertical="center"/>
    </xf>
    <xf numFmtId="4" fontId="22" fillId="0" borderId="2" xfId="0" applyNumberFormat="1" applyFont="1" applyBorder="1" applyAlignment="1">
      <alignment horizontal="right" vertical="center"/>
    </xf>
    <xf numFmtId="164" fontId="22" fillId="0" borderId="2" xfId="2" applyFont="1" applyFill="1" applyBorder="1" applyAlignment="1" applyProtection="1">
      <alignment vertical="center"/>
    </xf>
    <xf numFmtId="0" fontId="2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right" vertical="center"/>
    </xf>
    <xf numFmtId="4" fontId="22" fillId="0" borderId="3" xfId="0" applyNumberFormat="1" applyFont="1" applyBorder="1" applyAlignment="1">
      <alignment horizontal="right" vertical="center"/>
    </xf>
    <xf numFmtId="164" fontId="22" fillId="0" borderId="3" xfId="2" applyFont="1" applyFill="1" applyBorder="1" applyAlignment="1" applyProtection="1">
      <alignment vertical="center"/>
    </xf>
    <xf numFmtId="2" fontId="22" fillId="0" borderId="3" xfId="0" applyNumberFormat="1" applyFont="1" applyBorder="1" applyAlignment="1">
      <alignment horizontal="left" vertical="center" wrapText="1"/>
    </xf>
    <xf numFmtId="2" fontId="22" fillId="0" borderId="3" xfId="0" applyNumberFormat="1" applyFont="1" applyBorder="1" applyAlignment="1">
      <alignment horizontal="right" vertical="center"/>
    </xf>
    <xf numFmtId="164" fontId="15" fillId="0" borderId="6" xfId="2" applyFont="1" applyFill="1" applyBorder="1" applyAlignment="1" applyProtection="1">
      <alignment vertical="center"/>
    </xf>
    <xf numFmtId="0" fontId="22" fillId="0" borderId="3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2" fontId="22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/>
    </xf>
    <xf numFmtId="0" fontId="25" fillId="0" borderId="3" xfId="0" applyFont="1" applyBorder="1" applyAlignment="1">
      <alignment horizontal="left" vertical="center" wrapText="1"/>
    </xf>
    <xf numFmtId="4" fontId="22" fillId="0" borderId="3" xfId="0" applyNumberFormat="1" applyFont="1" applyBorder="1" applyAlignment="1">
      <alignment horizontal="left" vertical="center" wrapText="1"/>
    </xf>
    <xf numFmtId="4" fontId="22" fillId="0" borderId="3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/>
    </xf>
    <xf numFmtId="3" fontId="24" fillId="0" borderId="3" xfId="0" applyNumberFormat="1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center" vertical="center"/>
    </xf>
    <xf numFmtId="1" fontId="22" fillId="0" borderId="3" xfId="0" applyNumberFormat="1" applyFont="1" applyBorder="1" applyAlignment="1">
      <alignment horizontal="right" vertical="center"/>
    </xf>
    <xf numFmtId="0" fontId="25" fillId="0" borderId="3" xfId="0" applyFont="1" applyBorder="1" applyAlignment="1">
      <alignment horizontal="center" vertical="center"/>
    </xf>
    <xf numFmtId="4" fontId="25" fillId="0" borderId="3" xfId="0" applyNumberFormat="1" applyFont="1" applyBorder="1" applyAlignment="1">
      <alignment horizontal="right" vertical="center"/>
    </xf>
    <xf numFmtId="3" fontId="26" fillId="0" borderId="3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2" fillId="0" borderId="1" xfId="0" applyFont="1" applyBorder="1" applyAlignment="1">
      <alignment horizontal="right" vertical="center"/>
    </xf>
    <xf numFmtId="3" fontId="26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right" vertical="center"/>
    </xf>
    <xf numFmtId="0" fontId="2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right" vertical="center"/>
    </xf>
    <xf numFmtId="4" fontId="22" fillId="0" borderId="4" xfId="0" applyNumberFormat="1" applyFont="1" applyBorder="1" applyAlignment="1">
      <alignment horizontal="right" vertical="center"/>
    </xf>
    <xf numFmtId="0" fontId="25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4" fontId="22" fillId="0" borderId="5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right" vertical="center"/>
    </xf>
    <xf numFmtId="164" fontId="6" fillId="0" borderId="0" xfId="2" applyFont="1" applyFill="1" applyBorder="1" applyAlignment="1" applyProtection="1">
      <alignment vertical="center"/>
    </xf>
    <xf numFmtId="164" fontId="6" fillId="0" borderId="0" xfId="2" applyFont="1" applyFill="1" applyAlignment="1" applyProtection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9" fontId="16" fillId="4" borderId="1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11" fillId="0" borderId="3" xfId="0" applyFont="1" applyBorder="1" applyAlignment="1">
      <alignment horizontal="center"/>
    </xf>
    <xf numFmtId="164" fontId="15" fillId="0" borderId="4" xfId="2" applyFont="1" applyBorder="1" applyAlignment="1">
      <alignment horizontal="center" vertical="center"/>
    </xf>
    <xf numFmtId="164" fontId="22" fillId="0" borderId="2" xfId="2" applyFont="1" applyBorder="1" applyAlignment="1">
      <alignment horizontal="center" vertical="center"/>
    </xf>
    <xf numFmtId="164" fontId="22" fillId="0" borderId="3" xfId="2" applyFont="1" applyBorder="1" applyAlignment="1">
      <alignment horizontal="center" vertical="center"/>
    </xf>
    <xf numFmtId="164" fontId="22" fillId="0" borderId="1" xfId="2" applyFont="1" applyBorder="1" applyAlignment="1">
      <alignment horizontal="center" vertical="center"/>
    </xf>
    <xf numFmtId="164" fontId="11" fillId="0" borderId="3" xfId="2" applyFont="1" applyBorder="1" applyAlignment="1">
      <alignment horizontal="center"/>
    </xf>
    <xf numFmtId="164" fontId="25" fillId="0" borderId="1" xfId="2" applyFont="1" applyBorder="1" applyAlignment="1">
      <alignment horizontal="center" vertical="center"/>
    </xf>
    <xf numFmtId="164" fontId="22" fillId="0" borderId="4" xfId="2" applyFont="1" applyBorder="1" applyAlignment="1">
      <alignment horizontal="center" vertical="center"/>
    </xf>
    <xf numFmtId="164" fontId="7" fillId="0" borderId="0" xfId="2" applyFont="1" applyAlignment="1">
      <alignment horizontal="center" vertical="center"/>
    </xf>
    <xf numFmtId="164" fontId="7" fillId="0" borderId="6" xfId="2" applyFont="1" applyBorder="1" applyAlignment="1">
      <alignment horizontal="center" vertical="top"/>
    </xf>
    <xf numFmtId="164" fontId="6" fillId="0" borderId="0" xfId="2" applyFont="1" applyAlignment="1">
      <alignment horizontal="center" vertical="center"/>
    </xf>
    <xf numFmtId="164" fontId="6" fillId="0" borderId="0" xfId="2" applyFont="1" applyAlignment="1">
      <alignment vertical="center"/>
    </xf>
    <xf numFmtId="2" fontId="22" fillId="5" borderId="3" xfId="0" applyNumberFormat="1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center" vertical="center"/>
    </xf>
    <xf numFmtId="2" fontId="22" fillId="2" borderId="3" xfId="0" applyNumberFormat="1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/>
    </xf>
    <xf numFmtId="164" fontId="22" fillId="2" borderId="3" xfId="2" applyFont="1" applyFill="1" applyBorder="1" applyAlignment="1">
      <alignment horizontal="center" vertical="center"/>
    </xf>
    <xf numFmtId="164" fontId="22" fillId="2" borderId="3" xfId="2" applyFont="1" applyFill="1" applyBorder="1" applyAlignment="1" applyProtection="1">
      <alignment vertical="center"/>
    </xf>
    <xf numFmtId="0" fontId="6" fillId="2" borderId="0" xfId="0" applyFont="1" applyFill="1" applyAlignment="1">
      <alignment vertical="center"/>
    </xf>
    <xf numFmtId="2" fontId="22" fillId="6" borderId="3" xfId="0" applyNumberFormat="1" applyFont="1" applyFill="1" applyBorder="1" applyAlignment="1">
      <alignment horizontal="left" vertical="center" wrapText="1"/>
    </xf>
    <xf numFmtId="164" fontId="22" fillId="2" borderId="3" xfId="2" applyFont="1" applyFill="1" applyBorder="1" applyAlignment="1">
      <alignment horizontal="right" vertical="center"/>
    </xf>
    <xf numFmtId="0" fontId="22" fillId="0" borderId="1" xfId="0" applyFont="1" applyBorder="1" applyAlignment="1">
      <alignment vertical="center"/>
    </xf>
    <xf numFmtId="164" fontId="22" fillId="0" borderId="0" xfId="2" applyFont="1" applyBorder="1" applyAlignment="1">
      <alignment horizontal="center" vertical="center"/>
    </xf>
    <xf numFmtId="164" fontId="22" fillId="0" borderId="1" xfId="2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left" vertical="center" wrapText="1"/>
    </xf>
    <xf numFmtId="4" fontId="22" fillId="2" borderId="3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 wrapText="1"/>
    </xf>
    <xf numFmtId="164" fontId="22" fillId="0" borderId="3" xfId="2" applyFont="1" applyFill="1" applyBorder="1" applyAlignment="1">
      <alignment horizontal="center" vertical="center"/>
    </xf>
    <xf numFmtId="3" fontId="24" fillId="2" borderId="3" xfId="0" applyNumberFormat="1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/>
    </xf>
    <xf numFmtId="164" fontId="22" fillId="2" borderId="1" xfId="2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left" vertical="center"/>
    </xf>
    <xf numFmtId="0" fontId="3" fillId="2" borderId="0" xfId="0" applyFont="1" applyFill="1"/>
    <xf numFmtId="0" fontId="32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2" fontId="22" fillId="0" borderId="3" xfId="0" applyNumberFormat="1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/>
    </xf>
    <xf numFmtId="2" fontId="22" fillId="7" borderId="1" xfId="0" applyNumberFormat="1" applyFont="1" applyFill="1" applyBorder="1" applyAlignment="1">
      <alignment horizontal="left" vertical="center" wrapText="1"/>
    </xf>
    <xf numFmtId="0" fontId="22" fillId="7" borderId="1" xfId="0" applyFont="1" applyFill="1" applyBorder="1" applyAlignment="1">
      <alignment horizontal="center" vertical="center"/>
    </xf>
    <xf numFmtId="164" fontId="22" fillId="7" borderId="1" xfId="2" applyFont="1" applyFill="1" applyBorder="1" applyAlignment="1">
      <alignment horizontal="center" vertical="center"/>
    </xf>
    <xf numFmtId="164" fontId="22" fillId="7" borderId="3" xfId="2" applyFont="1" applyFill="1" applyBorder="1" applyAlignment="1" applyProtection="1">
      <alignment vertical="center"/>
    </xf>
    <xf numFmtId="0" fontId="6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164" fontId="22" fillId="2" borderId="1" xfId="2" applyFont="1" applyFill="1" applyBorder="1" applyAlignment="1">
      <alignment horizontal="right" vertical="center"/>
    </xf>
    <xf numFmtId="0" fontId="22" fillId="7" borderId="3" xfId="0" applyFont="1" applyFill="1" applyBorder="1" applyAlignment="1">
      <alignment horizontal="left" vertical="center"/>
    </xf>
    <xf numFmtId="0" fontId="22" fillId="7" borderId="3" xfId="0" applyFont="1" applyFill="1" applyBorder="1" applyAlignment="1">
      <alignment horizontal="center" vertical="center"/>
    </xf>
    <xf numFmtId="4" fontId="22" fillId="7" borderId="1" xfId="0" applyNumberFormat="1" applyFont="1" applyFill="1" applyBorder="1" applyAlignment="1">
      <alignment horizontal="right" vertical="center"/>
    </xf>
    <xf numFmtId="0" fontId="22" fillId="7" borderId="1" xfId="0" applyFont="1" applyFill="1" applyBorder="1" applyAlignment="1">
      <alignment horizontal="left" vertical="center"/>
    </xf>
    <xf numFmtId="164" fontId="22" fillId="0" borderId="1" xfId="2" applyFont="1" applyBorder="1" applyAlignment="1">
      <alignment horizontal="left" vertical="center"/>
    </xf>
    <xf numFmtId="0" fontId="22" fillId="0" borderId="1" xfId="0" applyFont="1" applyBorder="1" applyAlignment="1">
      <alignment horizontal="right" vertical="center" wrapText="1"/>
    </xf>
    <xf numFmtId="0" fontId="22" fillId="7" borderId="3" xfId="0" applyFont="1" applyFill="1" applyBorder="1" applyAlignment="1">
      <alignment horizontal="left" vertical="center" wrapText="1"/>
    </xf>
    <xf numFmtId="164" fontId="22" fillId="7" borderId="3" xfId="2" applyFont="1" applyFill="1" applyBorder="1" applyAlignment="1">
      <alignment horizontal="center" vertical="center"/>
    </xf>
    <xf numFmtId="164" fontId="22" fillId="7" borderId="3" xfId="2" applyFont="1" applyFill="1" applyBorder="1" applyAlignment="1">
      <alignment horizontal="right" vertical="center"/>
    </xf>
    <xf numFmtId="4" fontId="22" fillId="7" borderId="3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2" fontId="22" fillId="0" borderId="1" xfId="0" applyNumberFormat="1" applyFont="1" applyBorder="1" applyAlignment="1">
      <alignment horizontal="right" vertical="center" wrapText="1"/>
    </xf>
    <xf numFmtId="164" fontId="22" fillId="8" borderId="2" xfId="2" applyFont="1" applyFill="1" applyBorder="1" applyAlignment="1">
      <alignment horizontal="center" vertical="center" wrapText="1"/>
    </xf>
    <xf numFmtId="164" fontId="24" fillId="8" borderId="2" xfId="2" applyFont="1" applyFill="1" applyBorder="1" applyAlignment="1">
      <alignment horizontal="center" vertical="center" wrapText="1"/>
    </xf>
    <xf numFmtId="164" fontId="22" fillId="8" borderId="2" xfId="2" applyFont="1" applyFill="1" applyBorder="1" applyAlignment="1" applyProtection="1">
      <alignment horizontal="center" vertical="center"/>
    </xf>
    <xf numFmtId="164" fontId="22" fillId="8" borderId="2" xfId="2" applyFont="1" applyFill="1" applyBorder="1" applyAlignment="1">
      <alignment horizontal="right" vertical="center"/>
    </xf>
    <xf numFmtId="164" fontId="22" fillId="8" borderId="2" xfId="2" applyFont="1" applyFill="1" applyBorder="1" applyAlignment="1" applyProtection="1">
      <alignment vertical="center"/>
    </xf>
    <xf numFmtId="164" fontId="22" fillId="8" borderId="3" xfId="2" applyFont="1" applyFill="1" applyBorder="1" applyAlignment="1">
      <alignment horizontal="right" vertical="center"/>
    </xf>
    <xf numFmtId="164" fontId="22" fillId="8" borderId="3" xfId="2" applyFont="1" applyFill="1" applyBorder="1" applyAlignment="1" applyProtection="1">
      <alignment vertical="center"/>
    </xf>
    <xf numFmtId="164" fontId="15" fillId="8" borderId="6" xfId="2" applyFont="1" applyFill="1" applyBorder="1" applyAlignment="1" applyProtection="1">
      <alignment vertical="center"/>
    </xf>
    <xf numFmtId="164" fontId="22" fillId="8" borderId="3" xfId="2" applyFont="1" applyFill="1" applyBorder="1" applyAlignment="1">
      <alignment horizontal="center" vertical="center"/>
    </xf>
    <xf numFmtId="164" fontId="22" fillId="8" borderId="0" xfId="2" applyFont="1" applyFill="1" applyBorder="1" applyAlignment="1">
      <alignment horizontal="right" vertical="center"/>
    </xf>
    <xf numFmtId="164" fontId="22" fillId="8" borderId="15" xfId="2" applyFont="1" applyFill="1" applyBorder="1" applyAlignment="1">
      <alignment horizontal="right" vertical="center"/>
    </xf>
    <xf numFmtId="164" fontId="22" fillId="8" borderId="1" xfId="2" applyFont="1" applyFill="1" applyBorder="1" applyAlignment="1">
      <alignment horizontal="right" vertical="center"/>
    </xf>
    <xf numFmtId="164" fontId="22" fillId="8" borderId="1" xfId="2" applyFont="1" applyFill="1" applyBorder="1" applyAlignment="1">
      <alignment horizontal="center" vertical="center"/>
    </xf>
    <xf numFmtId="164" fontId="25" fillId="8" borderId="3" xfId="2" applyFont="1" applyFill="1" applyBorder="1" applyAlignment="1">
      <alignment horizontal="right" vertical="center"/>
    </xf>
    <xf numFmtId="164" fontId="25" fillId="8" borderId="1" xfId="2" applyFont="1" applyFill="1" applyBorder="1" applyAlignment="1">
      <alignment horizontal="right" vertical="center"/>
    </xf>
    <xf numFmtId="164" fontId="22" fillId="8" borderId="4" xfId="2" applyFont="1" applyFill="1" applyBorder="1" applyAlignment="1">
      <alignment horizontal="right" vertical="center"/>
    </xf>
    <xf numFmtId="164" fontId="27" fillId="8" borderId="1" xfId="2" applyFont="1" applyFill="1" applyBorder="1" applyAlignment="1">
      <alignment horizontal="right" vertical="center"/>
    </xf>
    <xf numFmtId="164" fontId="6" fillId="8" borderId="0" xfId="2" applyFont="1" applyFill="1" applyAlignment="1">
      <alignment horizontal="right" vertical="center"/>
    </xf>
    <xf numFmtId="164" fontId="6" fillId="8" borderId="0" xfId="2" applyFont="1" applyFill="1" applyBorder="1" applyAlignment="1" applyProtection="1">
      <alignment vertical="center"/>
    </xf>
    <xf numFmtId="164" fontId="6" fillId="8" borderId="0" xfId="2" applyFont="1" applyFill="1" applyAlignment="1" applyProtection="1">
      <alignment vertical="center"/>
    </xf>
    <xf numFmtId="3" fontId="24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left"/>
    </xf>
    <xf numFmtId="0" fontId="33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0" fontId="0" fillId="0" borderId="6" xfId="0" applyBorder="1"/>
    <xf numFmtId="0" fontId="38" fillId="0" borderId="1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/>
    </xf>
    <xf numFmtId="2" fontId="39" fillId="10" borderId="13" xfId="0" applyNumberFormat="1" applyFont="1" applyFill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40" fillId="0" borderId="21" xfId="0" applyFont="1" applyBorder="1" applyAlignment="1">
      <alignment horizontal="left" vertical="center"/>
    </xf>
    <xf numFmtId="0" fontId="41" fillId="0" borderId="22" xfId="0" applyFont="1" applyBorder="1" applyAlignment="1">
      <alignment horizontal="center" vertical="center"/>
    </xf>
    <xf numFmtId="2" fontId="41" fillId="0" borderId="23" xfId="0" applyNumberFormat="1" applyFont="1" applyBorder="1" applyAlignment="1">
      <alignment horizontal="center" vertical="center"/>
    </xf>
    <xf numFmtId="0" fontId="40" fillId="0" borderId="13" xfId="0" applyFont="1" applyBorder="1" applyAlignment="1">
      <alignment horizontal="left" vertical="center"/>
    </xf>
    <xf numFmtId="0" fontId="4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1" fillId="0" borderId="0" xfId="10"/>
    <xf numFmtId="0" fontId="13" fillId="0" borderId="0" xfId="10" applyFont="1" applyAlignment="1">
      <alignment vertical="center"/>
    </xf>
    <xf numFmtId="0" fontId="36" fillId="0" borderId="0" xfId="10" applyFont="1" applyAlignment="1">
      <alignment horizontal="center" vertical="center"/>
    </xf>
    <xf numFmtId="0" fontId="37" fillId="0" borderId="0" xfId="10" applyFont="1" applyAlignment="1">
      <alignment horizontal="center"/>
    </xf>
    <xf numFmtId="2" fontId="37" fillId="0" borderId="0" xfId="10" applyNumberFormat="1" applyFont="1" applyAlignment="1">
      <alignment horizontal="center"/>
    </xf>
    <xf numFmtId="0" fontId="37" fillId="0" borderId="0" xfId="10" applyFont="1" applyAlignment="1">
      <alignment horizontal="left"/>
    </xf>
    <xf numFmtId="0" fontId="33" fillId="0" borderId="0" xfId="10" applyFont="1" applyAlignment="1">
      <alignment horizontal="center" vertical="center"/>
    </xf>
    <xf numFmtId="2" fontId="33" fillId="0" borderId="0" xfId="10" applyNumberFormat="1" applyFont="1" applyAlignment="1">
      <alignment horizontal="center" vertical="center"/>
    </xf>
    <xf numFmtId="0" fontId="1" fillId="0" borderId="6" xfId="10" applyBorder="1"/>
    <xf numFmtId="0" fontId="38" fillId="0" borderId="16" xfId="10" applyFont="1" applyBorder="1" applyAlignment="1">
      <alignment horizontal="center" vertical="center"/>
    </xf>
    <xf numFmtId="0" fontId="38" fillId="0" borderId="17" xfId="10" applyFont="1" applyBorder="1" applyAlignment="1">
      <alignment horizontal="center" vertical="center"/>
    </xf>
    <xf numFmtId="0" fontId="38" fillId="0" borderId="18" xfId="10" applyFont="1" applyBorder="1" applyAlignment="1">
      <alignment horizontal="center" vertical="center"/>
    </xf>
    <xf numFmtId="0" fontId="33" fillId="0" borderId="6" xfId="10" applyFont="1" applyBorder="1" applyAlignment="1">
      <alignment horizontal="center"/>
    </xf>
    <xf numFmtId="2" fontId="39" fillId="10" borderId="13" xfId="10" applyNumberFormat="1" applyFont="1" applyFill="1" applyBorder="1" applyAlignment="1">
      <alignment horizontal="center" vertical="center"/>
    </xf>
    <xf numFmtId="0" fontId="39" fillId="0" borderId="19" xfId="10" applyFont="1" applyBorder="1" applyAlignment="1">
      <alignment horizontal="center" vertical="center"/>
    </xf>
    <xf numFmtId="0" fontId="39" fillId="0" borderId="20" xfId="10" applyFont="1" applyBorder="1" applyAlignment="1">
      <alignment horizontal="center" vertical="center"/>
    </xf>
    <xf numFmtId="0" fontId="40" fillId="0" borderId="21" xfId="10" applyFont="1" applyBorder="1" applyAlignment="1">
      <alignment horizontal="left" vertical="center"/>
    </xf>
    <xf numFmtId="0" fontId="41" fillId="0" borderId="22" xfId="10" applyFont="1" applyBorder="1" applyAlignment="1">
      <alignment horizontal="center" vertical="center"/>
    </xf>
    <xf numFmtId="2" fontId="41" fillId="0" borderId="0" xfId="10" applyNumberFormat="1" applyFont="1" applyAlignment="1">
      <alignment horizontal="center" vertical="center"/>
    </xf>
    <xf numFmtId="0" fontId="40" fillId="0" borderId="24" xfId="10" applyFont="1" applyBorder="1" applyAlignment="1">
      <alignment horizontal="left" vertical="center"/>
    </xf>
    <xf numFmtId="0" fontId="41" fillId="0" borderId="9" xfId="10" applyFont="1" applyBorder="1" applyAlignment="1">
      <alignment horizontal="center" vertical="center"/>
    </xf>
    <xf numFmtId="0" fontId="40" fillId="0" borderId="13" xfId="10" applyFont="1" applyBorder="1" applyAlignment="1">
      <alignment horizontal="left" vertical="center"/>
    </xf>
    <xf numFmtId="0" fontId="41" fillId="0" borderId="6" xfId="10" applyFont="1" applyBorder="1" applyAlignment="1">
      <alignment horizontal="center" vertical="center"/>
    </xf>
    <xf numFmtId="0" fontId="1" fillId="0" borderId="0" xfId="10" applyAlignment="1">
      <alignment horizontal="center" vertical="center"/>
    </xf>
    <xf numFmtId="0" fontId="43" fillId="0" borderId="0" xfId="10" applyFont="1"/>
    <xf numFmtId="1" fontId="1" fillId="0" borderId="0" xfId="10" applyNumberFormat="1" applyAlignment="1">
      <alignment horizontal="center" vertical="center"/>
    </xf>
    <xf numFmtId="1" fontId="1" fillId="0" borderId="0" xfId="10" applyNumberFormat="1"/>
    <xf numFmtId="0" fontId="40" fillId="0" borderId="25" xfId="10" applyFont="1" applyBorder="1" applyAlignment="1">
      <alignment horizontal="left" vertical="center"/>
    </xf>
    <xf numFmtId="0" fontId="41" fillId="0" borderId="2" xfId="10" applyFont="1" applyBorder="1" applyAlignment="1">
      <alignment horizontal="center" vertical="center"/>
    </xf>
    <xf numFmtId="0" fontId="44" fillId="0" borderId="26" xfId="10" applyFont="1" applyBorder="1" applyAlignment="1">
      <alignment horizontal="left" vertical="center"/>
    </xf>
    <xf numFmtId="0" fontId="41" fillId="0" borderId="27" xfId="10" applyFont="1" applyBorder="1" applyAlignment="1">
      <alignment horizontal="center" vertical="center"/>
    </xf>
    <xf numFmtId="43" fontId="6" fillId="0" borderId="0" xfId="0" applyNumberFormat="1" applyFont="1"/>
    <xf numFmtId="0" fontId="36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164" fontId="22" fillId="0" borderId="18" xfId="2" applyFont="1" applyFill="1" applyBorder="1" applyAlignment="1" applyProtection="1">
      <alignment horizontal="center" vertical="center"/>
    </xf>
    <xf numFmtId="0" fontId="45" fillId="0" borderId="1" xfId="0" applyFont="1" applyFill="1" applyBorder="1" applyAlignment="1">
      <alignment horizontal="left" vertical="center" wrapText="1" readingOrder="1"/>
    </xf>
    <xf numFmtId="0" fontId="45" fillId="0" borderId="0" xfId="0" applyFont="1" applyFill="1" applyBorder="1" applyAlignment="1">
      <alignment horizontal="left" vertical="center" wrapText="1" readingOrder="1"/>
    </xf>
    <xf numFmtId="164" fontId="45" fillId="0" borderId="0" xfId="2" applyFont="1" applyFill="1" applyBorder="1" applyAlignment="1">
      <alignment horizontal="center" vertical="center" readingOrder="1"/>
    </xf>
    <xf numFmtId="0" fontId="22" fillId="0" borderId="3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168" fontId="6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28" fillId="0" borderId="0" xfId="0" applyFont="1" applyAlignment="1">
      <alignment horizontal="center" wrapText="1"/>
    </xf>
    <xf numFmtId="0" fontId="13" fillId="3" borderId="6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164" fontId="7" fillId="0" borderId="6" xfId="2" applyFont="1" applyFill="1" applyBorder="1" applyAlignment="1" applyProtection="1">
      <alignment horizontal="center" vertical="top"/>
    </xf>
    <xf numFmtId="166" fontId="12" fillId="0" borderId="6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4" fontId="15" fillId="0" borderId="10" xfId="0" applyNumberFormat="1" applyFont="1" applyBorder="1" applyAlignment="1">
      <alignment horizontal="center" vertical="center"/>
    </xf>
    <xf numFmtId="4" fontId="15" fillId="0" borderId="13" xfId="0" applyNumberFormat="1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9" fontId="16" fillId="0" borderId="12" xfId="0" applyNumberFormat="1" applyFont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6" fontId="13" fillId="0" borderId="10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top"/>
    </xf>
    <xf numFmtId="164" fontId="12" fillId="9" borderId="6" xfId="2" applyFont="1" applyFill="1" applyBorder="1" applyAlignment="1">
      <alignment horizontal="center" vertical="center"/>
    </xf>
    <xf numFmtId="164" fontId="7" fillId="8" borderId="6" xfId="2" applyFont="1" applyFill="1" applyBorder="1" applyAlignment="1" applyProtection="1">
      <alignment horizontal="center" vertical="top"/>
    </xf>
    <xf numFmtId="164" fontId="14" fillId="9" borderId="2" xfId="2" applyFont="1" applyFill="1" applyBorder="1" applyAlignment="1">
      <alignment horizontal="center" vertical="top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0" fillId="0" borderId="0" xfId="0"/>
    <xf numFmtId="0" fontId="35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6" fillId="0" borderId="0" xfId="10" applyFont="1" applyAlignment="1">
      <alignment horizontal="center" vertical="center"/>
    </xf>
    <xf numFmtId="0" fontId="34" fillId="0" borderId="0" xfId="10" applyFont="1" applyAlignment="1">
      <alignment horizontal="center"/>
    </xf>
    <xf numFmtId="0" fontId="1" fillId="0" borderId="0" xfId="10"/>
    <xf numFmtId="0" fontId="35" fillId="0" borderId="0" xfId="10" applyFont="1" applyAlignment="1">
      <alignment horizontal="center"/>
    </xf>
    <xf numFmtId="0" fontId="33" fillId="0" borderId="0" xfId="10" applyFont="1" applyAlignment="1">
      <alignment horizontal="center"/>
    </xf>
    <xf numFmtId="0" fontId="4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64" fontId="45" fillId="0" borderId="30" xfId="2" applyFont="1" applyFill="1" applyBorder="1" applyAlignment="1">
      <alignment horizontal="center" vertical="center" readingOrder="1"/>
    </xf>
    <xf numFmtId="164" fontId="45" fillId="0" borderId="31" xfId="2" applyFont="1" applyFill="1" applyBorder="1" applyAlignment="1">
      <alignment horizontal="center" vertical="center" readingOrder="1"/>
    </xf>
    <xf numFmtId="0" fontId="45" fillId="0" borderId="29" xfId="0" applyFont="1" applyFill="1" applyBorder="1" applyAlignment="1">
      <alignment horizontal="left" vertical="center" wrapText="1" readingOrder="1"/>
    </xf>
    <xf numFmtId="0" fontId="45" fillId="0" borderId="22" xfId="0" applyFont="1" applyFill="1" applyBorder="1" applyAlignment="1">
      <alignment horizontal="left" vertical="center" wrapText="1" readingOrder="1"/>
    </xf>
    <xf numFmtId="0" fontId="45" fillId="0" borderId="33" xfId="0" applyFont="1" applyFill="1" applyBorder="1" applyAlignment="1">
      <alignment horizontal="left" vertical="center" wrapText="1" readingOrder="1"/>
    </xf>
    <xf numFmtId="164" fontId="45" fillId="0" borderId="29" xfId="2" applyFont="1" applyFill="1" applyBorder="1" applyAlignment="1">
      <alignment horizontal="center" vertical="center" readingOrder="1"/>
    </xf>
    <xf numFmtId="164" fontId="45" fillId="0" borderId="23" xfId="2" applyFont="1" applyFill="1" applyBorder="1" applyAlignment="1">
      <alignment horizontal="center" vertical="center" readingOrder="1"/>
    </xf>
    <xf numFmtId="0" fontId="45" fillId="0" borderId="30" xfId="0" applyFont="1" applyFill="1" applyBorder="1" applyAlignment="1">
      <alignment horizontal="left" vertical="center" wrapText="1" readingOrder="1"/>
    </xf>
    <xf numFmtId="0" fontId="45" fillId="0" borderId="6" xfId="0" applyFont="1" applyFill="1" applyBorder="1" applyAlignment="1">
      <alignment horizontal="left" vertical="center" wrapText="1" readingOrder="1"/>
    </xf>
    <xf numFmtId="0" fontId="45" fillId="0" borderId="8" xfId="0" applyFont="1" applyFill="1" applyBorder="1" applyAlignment="1">
      <alignment horizontal="left" vertical="center" wrapText="1" readingOrder="1"/>
    </xf>
    <xf numFmtId="0" fontId="45" fillId="0" borderId="34" xfId="0" applyFont="1" applyFill="1" applyBorder="1" applyAlignment="1">
      <alignment horizontal="left" vertical="center" wrapText="1" readingOrder="1"/>
    </xf>
    <xf numFmtId="0" fontId="45" fillId="0" borderId="27" xfId="0" applyFont="1" applyFill="1" applyBorder="1" applyAlignment="1">
      <alignment horizontal="left" vertical="center" wrapText="1" readingOrder="1"/>
    </xf>
    <xf numFmtId="0" fontId="45" fillId="0" borderId="35" xfId="0" applyFont="1" applyFill="1" applyBorder="1" applyAlignment="1">
      <alignment horizontal="left" vertical="center" wrapText="1" readingOrder="1"/>
    </xf>
    <xf numFmtId="0" fontId="45" fillId="0" borderId="29" xfId="0" applyFont="1" applyFill="1" applyBorder="1" applyAlignment="1">
      <alignment horizontal="right" vertical="center" wrapText="1" readingOrder="1"/>
    </xf>
    <xf numFmtId="0" fontId="45" fillId="0" borderId="22" xfId="0" applyFont="1" applyFill="1" applyBorder="1" applyAlignment="1">
      <alignment horizontal="right" vertical="center" wrapText="1" readingOrder="1"/>
    </xf>
    <xf numFmtId="0" fontId="45" fillId="0" borderId="33" xfId="0" applyFont="1" applyFill="1" applyBorder="1" applyAlignment="1">
      <alignment horizontal="right" vertical="center" wrapText="1" readingOrder="1"/>
    </xf>
    <xf numFmtId="0" fontId="45" fillId="0" borderId="30" xfId="0" applyFont="1" applyFill="1" applyBorder="1" applyAlignment="1">
      <alignment horizontal="right" vertical="center" wrapText="1" readingOrder="1"/>
    </xf>
    <xf numFmtId="0" fontId="45" fillId="0" borderId="6" xfId="0" applyFont="1" applyFill="1" applyBorder="1" applyAlignment="1">
      <alignment horizontal="right" vertical="center" wrapText="1" readingOrder="1"/>
    </xf>
    <xf numFmtId="0" fontId="45" fillId="0" borderId="8" xfId="0" applyFont="1" applyFill="1" applyBorder="1" applyAlignment="1">
      <alignment horizontal="right" vertical="center" wrapText="1" readingOrder="1"/>
    </xf>
    <xf numFmtId="164" fontId="45" fillId="0" borderId="34" xfId="2" applyFont="1" applyFill="1" applyBorder="1" applyAlignment="1">
      <alignment horizontal="center" vertical="center" readingOrder="1"/>
    </xf>
    <xf numFmtId="164" fontId="45" fillId="0" borderId="32" xfId="2" applyFont="1" applyFill="1" applyBorder="1" applyAlignment="1">
      <alignment horizontal="center" vertical="center" readingOrder="1"/>
    </xf>
    <xf numFmtId="0" fontId="45" fillId="0" borderId="34" xfId="0" applyFont="1" applyFill="1" applyBorder="1" applyAlignment="1">
      <alignment horizontal="right" vertical="center" wrapText="1" readingOrder="1"/>
    </xf>
    <xf numFmtId="0" fontId="45" fillId="0" borderId="27" xfId="0" applyFont="1" applyFill="1" applyBorder="1" applyAlignment="1">
      <alignment horizontal="right" vertical="center" wrapText="1" readingOrder="1"/>
    </xf>
    <xf numFmtId="0" fontId="45" fillId="0" borderId="35" xfId="0" applyFont="1" applyFill="1" applyBorder="1" applyAlignment="1">
      <alignment horizontal="right" vertical="center" wrapText="1" readingOrder="1"/>
    </xf>
  </cellXfs>
  <cellStyles count="11">
    <cellStyle name="Euro" xfId="1"/>
    <cellStyle name="Milliers" xfId="2" builtinId="3"/>
    <cellStyle name="Milliers 2" xfId="3"/>
    <cellStyle name="Milliers 2 2" xfId="4"/>
    <cellStyle name="Normal" xfId="0" builtinId="0"/>
    <cellStyle name="Normal - Style1" xfId="5"/>
    <cellStyle name="Normal 2" xfId="6"/>
    <cellStyle name="Normal 2 2 2" xfId="7"/>
    <cellStyle name="Normal 3" xfId="10"/>
    <cellStyle name="Normal 3 4" xfId="8"/>
    <cellStyle name="Normal 4 2" xfId="9"/>
  </cellStyles>
  <dxfs count="11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</xdr:colOff>
      <xdr:row>0</xdr:row>
      <xdr:rowOff>7620</xdr:rowOff>
    </xdr:from>
    <xdr:to>
      <xdr:col>5</xdr:col>
      <xdr:colOff>679450</xdr:colOff>
      <xdr:row>4</xdr:row>
      <xdr:rowOff>30480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D6EBFD9B-704F-4A41-9C1C-658EFB755A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7620"/>
          <a:ext cx="5487670" cy="708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must%20niaba/AVANT%20METRE%20ECOLE%20FIRDAOUS%20GUER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re_uxemn/Desktop/Mustapha/RECAP%20ECOLE%20FIRDAOUS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AZ\Desktop\avant%20metre%20type2021\Users\AZIZ-\Desktop\projet%20ecole%20et%20college\MEN%20TAROUDANT\ARRAZI\AVANT%20METRE%20SANITAI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ES"/>
      <sheetName val="detail calcul"/>
      <sheetName val="recap"/>
      <sheetName val="estimation"/>
      <sheetName val="Feuil3"/>
    </sheetNames>
    <sheetDataSet>
      <sheetData sheetId="0">
        <row r="2">
          <cell r="B2" t="str">
            <v>PROJET : CONSTRUCTION ECOLE AL FIRDAOUS</v>
          </cell>
        </row>
        <row r="3">
          <cell r="B3" t="str">
            <v>MAITRE OUVRAGE: DP AGADIR</v>
          </cell>
        </row>
      </sheetData>
      <sheetData sheetId="1">
        <row r="12">
          <cell r="K12">
            <v>8.16</v>
          </cell>
        </row>
        <row r="25">
          <cell r="B25" t="str">
            <v>Béton de propreté</v>
          </cell>
        </row>
        <row r="43">
          <cell r="B43" t="str">
            <v>Béton pour Béton armée en Fondation</v>
          </cell>
        </row>
        <row r="56">
          <cell r="B56" t="str">
            <v>Acier pour Béton armée en Fondation</v>
          </cell>
        </row>
        <row r="59">
          <cell r="B59" t="str">
            <v>Dalle de forme e=13cm T8 e=15 y/c d'acier</v>
          </cell>
        </row>
        <row r="67">
          <cell r="B67" t="str">
            <v xml:space="preserve">Béton pour Béton armée en Elevation </v>
          </cell>
        </row>
        <row r="79">
          <cell r="B79" t="str">
            <v>Acier pour Béton armée en Elevation</v>
          </cell>
        </row>
        <row r="90">
          <cell r="B90" t="str">
            <v>PLANCHER EN HOURDIS</v>
          </cell>
        </row>
        <row r="91">
          <cell r="B91" t="str">
            <v>a/ 15+5</v>
          </cell>
        </row>
        <row r="96">
          <cell r="B96" t="str">
            <v xml:space="preserve">a/ Forme de Pente </v>
          </cell>
          <cell r="C96" t="str">
            <v>m²</v>
          </cell>
        </row>
        <row r="109">
          <cell r="B109" t="str">
            <v xml:space="preserve">b/ Chape de Lissage </v>
          </cell>
          <cell r="C109" t="str">
            <v>m²</v>
          </cell>
        </row>
        <row r="113">
          <cell r="B113" t="str">
            <v>c/ Complexe d'étanchéité</v>
          </cell>
          <cell r="C113" t="str">
            <v>m²</v>
          </cell>
        </row>
        <row r="117">
          <cell r="B117" t="str">
            <v>d/ Reliefs d'étanchéité</v>
          </cell>
          <cell r="C117" t="str">
            <v>ml</v>
          </cell>
        </row>
        <row r="133">
          <cell r="B133" t="str">
            <v xml:space="preserve">f/ Dallette de protection </v>
          </cell>
          <cell r="C133" t="str">
            <v>m²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 &amp; SANI"/>
      <sheetName val="CLASSES"/>
      <sheetName val="GUERITE"/>
      <sheetName val="RECAP"/>
    </sheetNames>
    <sheetDataSet>
      <sheetData sheetId="0">
        <row r="8">
          <cell r="D8">
            <v>182</v>
          </cell>
        </row>
        <row r="10">
          <cell r="D10">
            <v>182</v>
          </cell>
        </row>
        <row r="14">
          <cell r="E14">
            <v>182</v>
          </cell>
        </row>
        <row r="15">
          <cell r="E15">
            <v>166.25800000000001</v>
          </cell>
        </row>
        <row r="16">
          <cell r="E16">
            <v>0</v>
          </cell>
        </row>
        <row r="17">
          <cell r="E17">
            <v>348.25800000000004</v>
          </cell>
        </row>
        <row r="19">
          <cell r="E19">
            <v>12.31</v>
          </cell>
        </row>
        <row r="20">
          <cell r="E20">
            <v>1.0859999999999999</v>
          </cell>
        </row>
        <row r="21">
          <cell r="E21">
            <v>21.363749999999996</v>
          </cell>
        </row>
        <row r="22">
          <cell r="E22">
            <v>66.465000000000003</v>
          </cell>
        </row>
        <row r="23">
          <cell r="E23">
            <v>0</v>
          </cell>
        </row>
        <row r="24">
          <cell r="E24">
            <v>35.545124999999999</v>
          </cell>
        </row>
        <row r="25">
          <cell r="E25">
            <v>3909.9637499999999</v>
          </cell>
        </row>
        <row r="26">
          <cell r="E26">
            <v>182</v>
          </cell>
        </row>
        <row r="27">
          <cell r="E27">
            <v>81.239999999999995</v>
          </cell>
        </row>
        <row r="28">
          <cell r="E28">
            <v>263.24</v>
          </cell>
        </row>
        <row r="30">
          <cell r="E30">
            <v>21.648000000000007</v>
          </cell>
        </row>
        <row r="31">
          <cell r="E31">
            <v>3138.9600000000005</v>
          </cell>
        </row>
        <row r="32">
          <cell r="E32">
            <v>7.5</v>
          </cell>
        </row>
        <row r="33">
          <cell r="E33">
            <v>7.5</v>
          </cell>
        </row>
        <row r="35">
          <cell r="E35">
            <v>177.78</v>
          </cell>
        </row>
        <row r="36">
          <cell r="E36">
            <v>0</v>
          </cell>
        </row>
        <row r="38">
          <cell r="E38">
            <v>177.78</v>
          </cell>
        </row>
        <row r="39">
          <cell r="E39">
            <v>177.78</v>
          </cell>
        </row>
        <row r="40">
          <cell r="E40">
            <v>177.78</v>
          </cell>
        </row>
        <row r="41">
          <cell r="E41">
            <v>80</v>
          </cell>
        </row>
        <row r="42">
          <cell r="E42">
            <v>80</v>
          </cell>
        </row>
        <row r="43">
          <cell r="E43">
            <v>177.78</v>
          </cell>
        </row>
      </sheetData>
      <sheetData sheetId="1">
        <row r="8">
          <cell r="D8">
            <v>181.08000000000004</v>
          </cell>
        </row>
        <row r="10">
          <cell r="D10">
            <v>362.16000000000008</v>
          </cell>
        </row>
        <row r="14">
          <cell r="E14">
            <v>181.08000000000004</v>
          </cell>
        </row>
        <row r="15">
          <cell r="E15">
            <v>146.393</v>
          </cell>
        </row>
        <row r="16">
          <cell r="E16">
            <v>0</v>
          </cell>
        </row>
        <row r="17">
          <cell r="E17">
            <v>327.47300000000007</v>
          </cell>
        </row>
        <row r="19">
          <cell r="E19">
            <v>10.963750000000001</v>
          </cell>
        </row>
        <row r="20">
          <cell r="E20">
            <v>1.5</v>
          </cell>
        </row>
        <row r="21">
          <cell r="E21">
            <v>19.001249999999999</v>
          </cell>
        </row>
        <row r="22">
          <cell r="E22">
            <v>59.115000000000009</v>
          </cell>
        </row>
        <row r="23">
          <cell r="E23">
            <v>3.0599999999999996</v>
          </cell>
        </row>
        <row r="24">
          <cell r="E24">
            <v>37.635950000000015</v>
          </cell>
        </row>
        <row r="25">
          <cell r="E25">
            <v>4139.9545000000007</v>
          </cell>
        </row>
        <row r="26">
          <cell r="E26">
            <v>181.08</v>
          </cell>
        </row>
        <row r="27">
          <cell r="E27">
            <v>75.239999999999981</v>
          </cell>
        </row>
        <row r="28">
          <cell r="E28">
            <v>437.4</v>
          </cell>
        </row>
        <row r="30">
          <cell r="E30">
            <v>68.814460000000011</v>
          </cell>
        </row>
        <row r="31">
          <cell r="E31">
            <v>9978.0967000000019</v>
          </cell>
        </row>
        <row r="32">
          <cell r="E32">
            <v>6.4</v>
          </cell>
        </row>
        <row r="33">
          <cell r="E33">
            <v>6.4</v>
          </cell>
        </row>
        <row r="35">
          <cell r="E35">
            <v>94.67</v>
          </cell>
        </row>
        <row r="36">
          <cell r="E36">
            <v>239.36</v>
          </cell>
        </row>
        <row r="38">
          <cell r="E38">
            <v>173.27999999999997</v>
          </cell>
        </row>
        <row r="39">
          <cell r="E39">
            <v>173.27999999999997</v>
          </cell>
        </row>
        <row r="40">
          <cell r="E40">
            <v>173.27999999999997</v>
          </cell>
        </row>
        <row r="41">
          <cell r="E41">
            <v>72.2</v>
          </cell>
        </row>
        <row r="42">
          <cell r="E42">
            <v>72.2</v>
          </cell>
        </row>
        <row r="43">
          <cell r="E43">
            <v>173.27999999999997</v>
          </cell>
        </row>
      </sheetData>
      <sheetData sheetId="2">
        <row r="8">
          <cell r="D8">
            <v>8.16</v>
          </cell>
        </row>
        <row r="10">
          <cell r="D10">
            <v>8.16</v>
          </cell>
        </row>
        <row r="14">
          <cell r="E14">
            <v>8.16</v>
          </cell>
        </row>
        <row r="15">
          <cell r="E15">
            <v>20.423999999999999</v>
          </cell>
        </row>
        <row r="16">
          <cell r="E16">
            <v>0</v>
          </cell>
        </row>
        <row r="17">
          <cell r="E17">
            <v>28.584</v>
          </cell>
        </row>
        <row r="19">
          <cell r="E19">
            <v>1.278</v>
          </cell>
        </row>
        <row r="20">
          <cell r="E20">
            <v>0</v>
          </cell>
        </row>
        <row r="21">
          <cell r="E21">
            <v>3.6449999999999996</v>
          </cell>
        </row>
        <row r="22">
          <cell r="E22">
            <v>11.340000000000002</v>
          </cell>
        </row>
        <row r="23">
          <cell r="E23">
            <v>0</v>
          </cell>
        </row>
        <row r="24">
          <cell r="E24">
            <v>3.1134999999999997</v>
          </cell>
        </row>
        <row r="25">
          <cell r="E25">
            <v>342.48499999999996</v>
          </cell>
        </row>
        <row r="26">
          <cell r="E26">
            <v>8.16</v>
          </cell>
        </row>
        <row r="27">
          <cell r="E27">
            <v>19.68</v>
          </cell>
        </row>
        <row r="28">
          <cell r="E28">
            <v>19.68</v>
          </cell>
        </row>
        <row r="30">
          <cell r="E30">
            <v>3.0380000000000003</v>
          </cell>
        </row>
        <row r="31">
          <cell r="E31">
            <v>440.51000000000005</v>
          </cell>
        </row>
        <row r="32">
          <cell r="E32">
            <v>0</v>
          </cell>
        </row>
        <row r="33">
          <cell r="E33">
            <v>0</v>
          </cell>
        </row>
        <row r="35">
          <cell r="E35">
            <v>7.0400000000000009</v>
          </cell>
        </row>
        <row r="36">
          <cell r="E36">
            <v>0</v>
          </cell>
        </row>
        <row r="38">
          <cell r="E38">
            <v>7.0400000000000009</v>
          </cell>
        </row>
        <row r="39">
          <cell r="E39">
            <v>7.0400000000000009</v>
          </cell>
        </row>
        <row r="40">
          <cell r="E40">
            <v>7.0400000000000009</v>
          </cell>
        </row>
        <row r="41">
          <cell r="E41">
            <v>10.8</v>
          </cell>
        </row>
        <row r="42">
          <cell r="E42">
            <v>10.8</v>
          </cell>
        </row>
        <row r="43">
          <cell r="E43">
            <v>7.0400000000000009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es"/>
      <sheetName val="detail calcul"/>
      <sheetName val="recap"/>
    </sheetNames>
    <sheetDataSet>
      <sheetData sheetId="0" refreshError="1"/>
      <sheetData sheetId="1" refreshError="1">
        <row r="13">
          <cell r="B13" t="str">
            <v>Fouille en puits en tranchées et en rigoles</v>
          </cell>
        </row>
        <row r="66">
          <cell r="B66" t="str">
            <v>Remblaiment ou Evacuation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270"/>
  <sheetViews>
    <sheetView topLeftCell="A241" zoomScale="96" zoomScaleNormal="96" zoomScaleSheetLayoutView="83" workbookViewId="0">
      <selection activeCell="D250" sqref="D250:D254"/>
    </sheetView>
  </sheetViews>
  <sheetFormatPr baseColWidth="10" defaultColWidth="9" defaultRowHeight="14.25" x14ac:dyDescent="0.2"/>
  <cols>
    <col min="1" max="1" width="7.42578125" style="4" customWidth="1"/>
    <col min="2" max="2" width="55.28515625" style="5" customWidth="1"/>
    <col min="3" max="3" width="3.42578125" style="6" customWidth="1"/>
    <col min="4" max="4" width="10" style="12" customWidth="1"/>
    <col min="5" max="6" width="10.85546875" style="12" customWidth="1"/>
    <col min="7" max="7" width="10.28515625" style="7" customWidth="1"/>
    <col min="8" max="8" width="17.85546875" style="79" customWidth="1"/>
    <col min="9" max="9" width="13.7109375" style="5" customWidth="1"/>
    <col min="10" max="10" width="18.140625" style="5" customWidth="1"/>
    <col min="11" max="258" width="11.42578125" style="5" customWidth="1"/>
    <col min="259" max="16384" width="9" style="80"/>
  </cols>
  <sheetData>
    <row r="1" spans="1:10" ht="10.5" customHeight="1" x14ac:dyDescent="0.2">
      <c r="A1" s="245" t="s">
        <v>432</v>
      </c>
      <c r="B1" s="245"/>
      <c r="C1" s="245"/>
      <c r="D1" s="245"/>
      <c r="E1" s="245"/>
      <c r="F1" s="245"/>
      <c r="G1" s="245"/>
      <c r="H1" s="245"/>
    </row>
    <row r="2" spans="1:10" ht="29.25" customHeight="1" x14ac:dyDescent="0.2">
      <c r="A2" s="245"/>
      <c r="B2" s="245"/>
      <c r="C2" s="245"/>
      <c r="D2" s="245"/>
      <c r="E2" s="245"/>
      <c r="F2" s="245"/>
      <c r="G2" s="245"/>
      <c r="H2" s="245"/>
    </row>
    <row r="3" spans="1:10" ht="29.25" customHeight="1" x14ac:dyDescent="0.2">
      <c r="A3" s="246" t="s">
        <v>433</v>
      </c>
      <c r="B3" s="246"/>
      <c r="C3" s="246"/>
      <c r="D3" s="246"/>
      <c r="E3" s="246"/>
      <c r="F3" s="246"/>
      <c r="G3" s="246"/>
      <c r="H3" s="246"/>
      <c r="I3" s="81"/>
    </row>
    <row r="4" spans="1:10" s="3" customFormat="1" ht="29.25" customHeight="1" x14ac:dyDescent="0.2">
      <c r="A4" s="19" t="s">
        <v>75</v>
      </c>
      <c r="B4" s="20" t="s">
        <v>2</v>
      </c>
      <c r="C4" s="20" t="s">
        <v>3</v>
      </c>
      <c r="D4" s="21" t="s">
        <v>434</v>
      </c>
      <c r="E4" s="21"/>
      <c r="F4" s="21"/>
      <c r="G4" s="22" t="s">
        <v>83</v>
      </c>
      <c r="H4" s="23" t="s">
        <v>34</v>
      </c>
    </row>
    <row r="5" spans="1:10" ht="18" customHeight="1" x14ac:dyDescent="0.2">
      <c r="A5" s="24"/>
      <c r="B5" s="25" t="s">
        <v>140</v>
      </c>
      <c r="C5" s="26"/>
      <c r="D5" s="27"/>
      <c r="E5" s="27"/>
      <c r="F5" s="27"/>
      <c r="G5" s="28"/>
      <c r="H5" s="29"/>
    </row>
    <row r="6" spans="1:10" ht="18" customHeight="1" x14ac:dyDescent="0.2">
      <c r="A6" s="30"/>
      <c r="B6" s="31" t="s">
        <v>141</v>
      </c>
      <c r="C6" s="32"/>
      <c r="D6" s="33"/>
      <c r="E6" s="33"/>
      <c r="F6" s="33"/>
      <c r="G6" s="34"/>
      <c r="H6" s="35"/>
      <c r="I6" s="13"/>
    </row>
    <row r="7" spans="1:10" s="5" customFormat="1" ht="18" customHeight="1" x14ac:dyDescent="0.2">
      <c r="A7" s="30" t="s">
        <v>142</v>
      </c>
      <c r="B7" s="36" t="s">
        <v>349</v>
      </c>
      <c r="C7" s="32" t="s">
        <v>4</v>
      </c>
      <c r="D7" s="37">
        <v>565</v>
      </c>
      <c r="E7" s="37"/>
      <c r="F7" s="37"/>
      <c r="G7" s="34">
        <v>20</v>
      </c>
      <c r="H7" s="35">
        <f>+G7*D7</f>
        <v>11300</v>
      </c>
      <c r="J7" s="82"/>
    </row>
    <row r="8" spans="1:10" s="5" customFormat="1" ht="28.5" customHeight="1" x14ac:dyDescent="0.2">
      <c r="A8" s="30" t="s">
        <v>143</v>
      </c>
      <c r="B8" s="36" t="s">
        <v>312</v>
      </c>
      <c r="C8" s="32" t="s">
        <v>5</v>
      </c>
      <c r="D8" s="37">
        <v>80</v>
      </c>
      <c r="E8" s="37"/>
      <c r="F8" s="37"/>
      <c r="G8" s="34">
        <v>25</v>
      </c>
      <c r="H8" s="35">
        <f>+G8*D8</f>
        <v>2000</v>
      </c>
      <c r="J8" s="82"/>
    </row>
    <row r="9" spans="1:10" s="5" customFormat="1" ht="28.5" customHeight="1" x14ac:dyDescent="0.2">
      <c r="A9" s="30" t="s">
        <v>144</v>
      </c>
      <c r="B9" s="36" t="s">
        <v>254</v>
      </c>
      <c r="C9" s="32" t="s">
        <v>5</v>
      </c>
      <c r="D9" s="37">
        <v>661</v>
      </c>
      <c r="E9" s="37"/>
      <c r="F9" s="37"/>
      <c r="G9" s="34">
        <v>35</v>
      </c>
      <c r="H9" s="35">
        <f>+G9*D9</f>
        <v>23135</v>
      </c>
      <c r="J9" s="82"/>
    </row>
    <row r="10" spans="1:10" s="5" customFormat="1" ht="18" customHeight="1" x14ac:dyDescent="0.2">
      <c r="A10" s="30" t="s">
        <v>145</v>
      </c>
      <c r="B10" s="36" t="s">
        <v>435</v>
      </c>
      <c r="C10" s="32" t="s">
        <v>5</v>
      </c>
      <c r="D10" s="37">
        <v>452</v>
      </c>
      <c r="E10" s="37"/>
      <c r="F10" s="37"/>
      <c r="G10" s="34">
        <v>35</v>
      </c>
      <c r="H10" s="35">
        <f>+G10*D10</f>
        <v>15820</v>
      </c>
      <c r="J10" s="82"/>
    </row>
    <row r="11" spans="1:10" s="5" customFormat="1" ht="18" customHeight="1" x14ac:dyDescent="0.2">
      <c r="A11" s="30" t="s">
        <v>351</v>
      </c>
      <c r="B11" s="36" t="s">
        <v>350</v>
      </c>
      <c r="C11" s="32" t="s">
        <v>5</v>
      </c>
      <c r="D11" s="37">
        <v>450</v>
      </c>
      <c r="E11" s="37"/>
      <c r="F11" s="37"/>
      <c r="G11" s="34">
        <v>60</v>
      </c>
      <c r="H11" s="35">
        <f>+G11*D11</f>
        <v>27000</v>
      </c>
      <c r="J11" s="82"/>
    </row>
    <row r="12" spans="1:10" ht="18" customHeight="1" x14ac:dyDescent="0.2">
      <c r="A12" s="250" t="s">
        <v>96</v>
      </c>
      <c r="B12" s="251"/>
      <c r="C12" s="251"/>
      <c r="D12" s="251"/>
      <c r="E12" s="251"/>
      <c r="F12" s="251"/>
      <c r="G12" s="252"/>
      <c r="H12" s="38">
        <f>SUM(H5:H11)</f>
        <v>79255</v>
      </c>
      <c r="J12" s="82"/>
    </row>
    <row r="13" spans="1:10" ht="18" customHeight="1" x14ac:dyDescent="0.2">
      <c r="A13" s="24"/>
      <c r="B13" s="25" t="s">
        <v>146</v>
      </c>
      <c r="C13" s="26"/>
      <c r="D13" s="27"/>
      <c r="E13" s="27"/>
      <c r="F13" s="27"/>
      <c r="G13" s="28"/>
      <c r="H13" s="29"/>
      <c r="J13" s="82"/>
    </row>
    <row r="14" spans="1:10" ht="15" customHeight="1" x14ac:dyDescent="0.2">
      <c r="A14" s="30" t="s">
        <v>147</v>
      </c>
      <c r="B14" s="39" t="s">
        <v>6</v>
      </c>
      <c r="C14" s="32" t="s">
        <v>5</v>
      </c>
      <c r="D14" s="37">
        <v>81</v>
      </c>
      <c r="E14" s="37"/>
      <c r="F14" s="37"/>
      <c r="G14" s="34">
        <v>350</v>
      </c>
      <c r="H14" s="35">
        <f>+G14*D14</f>
        <v>28350</v>
      </c>
      <c r="J14" s="82"/>
    </row>
    <row r="15" spans="1:10" ht="15" customHeight="1" x14ac:dyDescent="0.2">
      <c r="A15" s="30" t="s">
        <v>148</v>
      </c>
      <c r="B15" s="39" t="s">
        <v>77</v>
      </c>
      <c r="C15" s="32" t="s">
        <v>5</v>
      </c>
      <c r="D15" s="37">
        <v>31</v>
      </c>
      <c r="E15" s="37"/>
      <c r="F15" s="37"/>
      <c r="G15" s="34">
        <v>400</v>
      </c>
      <c r="H15" s="35">
        <f>+G15*D15</f>
        <v>12400</v>
      </c>
      <c r="J15" s="82"/>
    </row>
    <row r="16" spans="1:10" ht="15" customHeight="1" x14ac:dyDescent="0.2">
      <c r="A16" s="30" t="s">
        <v>149</v>
      </c>
      <c r="B16" s="39" t="s">
        <v>35</v>
      </c>
      <c r="C16" s="32" t="s">
        <v>5</v>
      </c>
      <c r="D16" s="37">
        <v>215</v>
      </c>
      <c r="E16" s="37"/>
      <c r="F16" s="37"/>
      <c r="G16" s="34">
        <v>180</v>
      </c>
      <c r="H16" s="35">
        <f>+G16*D16</f>
        <v>38700</v>
      </c>
      <c r="J16" s="82"/>
    </row>
    <row r="17" spans="1:10" ht="15" customHeight="1" x14ac:dyDescent="0.2">
      <c r="A17" s="30" t="s">
        <v>150</v>
      </c>
      <c r="B17" s="39" t="s">
        <v>78</v>
      </c>
      <c r="C17" s="32" t="s">
        <v>4</v>
      </c>
      <c r="D17" s="37">
        <v>228</v>
      </c>
      <c r="E17" s="37"/>
      <c r="F17" s="37"/>
      <c r="G17" s="34">
        <v>40</v>
      </c>
      <c r="H17" s="35">
        <f>+G17*D17</f>
        <v>9120</v>
      </c>
      <c r="J17" s="82"/>
    </row>
    <row r="18" spans="1:10" ht="18" customHeight="1" x14ac:dyDescent="0.2">
      <c r="A18" s="250" t="s">
        <v>97</v>
      </c>
      <c r="B18" s="251"/>
      <c r="C18" s="251"/>
      <c r="D18" s="251"/>
      <c r="E18" s="251"/>
      <c r="F18" s="251"/>
      <c r="G18" s="252"/>
      <c r="H18" s="38">
        <f>SUM(H13:H17)</f>
        <v>88570</v>
      </c>
      <c r="J18" s="82"/>
    </row>
    <row r="19" spans="1:10" ht="18" customHeight="1" x14ac:dyDescent="0.2">
      <c r="A19" s="24"/>
      <c r="B19" s="25" t="s">
        <v>151</v>
      </c>
      <c r="C19" s="26"/>
      <c r="D19" s="27"/>
      <c r="E19" s="27"/>
      <c r="F19" s="27"/>
      <c r="G19" s="28"/>
      <c r="H19" s="29"/>
      <c r="J19" s="82"/>
    </row>
    <row r="20" spans="1:10" ht="17.100000000000001" customHeight="1" x14ac:dyDescent="0.2">
      <c r="A20" s="30" t="s">
        <v>152</v>
      </c>
      <c r="B20" s="39" t="s">
        <v>255</v>
      </c>
      <c r="C20" s="32" t="s">
        <v>4</v>
      </c>
      <c r="D20" s="37">
        <v>998</v>
      </c>
      <c r="E20" s="37"/>
      <c r="F20" s="37"/>
      <c r="G20" s="34">
        <v>25</v>
      </c>
      <c r="H20" s="35">
        <f>+G20*D20</f>
        <v>24950</v>
      </c>
      <c r="J20" s="82"/>
    </row>
    <row r="21" spans="1:10" ht="17.100000000000001" customHeight="1" x14ac:dyDescent="0.2">
      <c r="A21" s="30" t="s">
        <v>153</v>
      </c>
      <c r="B21" s="39" t="s">
        <v>288</v>
      </c>
      <c r="C21" s="32" t="s">
        <v>4</v>
      </c>
      <c r="D21" s="37">
        <v>998</v>
      </c>
      <c r="E21" s="37"/>
      <c r="F21" s="37"/>
      <c r="G21" s="34">
        <v>100</v>
      </c>
      <c r="H21" s="35">
        <f>+G21*D21</f>
        <v>99800</v>
      </c>
      <c r="J21" s="82"/>
    </row>
    <row r="22" spans="1:10" ht="17.100000000000001" customHeight="1" x14ac:dyDescent="0.2">
      <c r="A22" s="30" t="s">
        <v>154</v>
      </c>
      <c r="B22" s="39" t="s">
        <v>80</v>
      </c>
      <c r="C22" s="32" t="s">
        <v>4</v>
      </c>
      <c r="D22" s="37">
        <v>75</v>
      </c>
      <c r="E22" s="37"/>
      <c r="F22" s="37"/>
      <c r="G22" s="34">
        <v>35</v>
      </c>
      <c r="H22" s="35">
        <f>+G22*D22</f>
        <v>2625</v>
      </c>
      <c r="J22" s="82"/>
    </row>
    <row r="23" spans="1:10" s="5" customFormat="1" ht="18" customHeight="1" x14ac:dyDescent="0.2">
      <c r="A23" s="250" t="s">
        <v>98</v>
      </c>
      <c r="B23" s="251"/>
      <c r="C23" s="251"/>
      <c r="D23" s="251"/>
      <c r="E23" s="251"/>
      <c r="F23" s="251"/>
      <c r="G23" s="252"/>
      <c r="H23" s="38">
        <f>SUM(H19:H22)</f>
        <v>127375</v>
      </c>
      <c r="J23" s="82"/>
    </row>
    <row r="24" spans="1:10" ht="18" customHeight="1" x14ac:dyDescent="0.2">
      <c r="A24" s="24"/>
      <c r="B24" s="25" t="s">
        <v>155</v>
      </c>
      <c r="C24" s="26"/>
      <c r="D24" s="27"/>
      <c r="E24" s="27"/>
      <c r="F24" s="27"/>
      <c r="G24" s="28"/>
      <c r="H24" s="35"/>
      <c r="J24" s="82"/>
    </row>
    <row r="25" spans="1:10" ht="17.100000000000001" customHeight="1" x14ac:dyDescent="0.2">
      <c r="A25" s="30" t="s">
        <v>156</v>
      </c>
      <c r="B25" s="39" t="s">
        <v>256</v>
      </c>
      <c r="C25" s="32" t="s">
        <v>5</v>
      </c>
      <c r="D25" s="37">
        <v>295</v>
      </c>
      <c r="E25" s="37"/>
      <c r="F25" s="37"/>
      <c r="G25" s="34">
        <v>1000</v>
      </c>
      <c r="H25" s="35">
        <f>+G25*D25</f>
        <v>295000</v>
      </c>
      <c r="J25" s="82"/>
    </row>
    <row r="26" spans="1:10" ht="17.100000000000001" customHeight="1" x14ac:dyDescent="0.2">
      <c r="A26" s="30" t="s">
        <v>157</v>
      </c>
      <c r="B26" s="39" t="s">
        <v>257</v>
      </c>
      <c r="C26" s="32" t="s">
        <v>79</v>
      </c>
      <c r="D26" s="37">
        <v>24855</v>
      </c>
      <c r="E26" s="37"/>
      <c r="F26" s="37"/>
      <c r="G26" s="34">
        <v>11</v>
      </c>
      <c r="H26" s="35">
        <f>+G26*D26</f>
        <v>273405</v>
      </c>
      <c r="J26" s="82"/>
    </row>
    <row r="27" spans="1:10" ht="18" customHeight="1" x14ac:dyDescent="0.2">
      <c r="A27" s="250" t="s">
        <v>99</v>
      </c>
      <c r="B27" s="251"/>
      <c r="C27" s="251"/>
      <c r="D27" s="251"/>
      <c r="E27" s="251"/>
      <c r="F27" s="251"/>
      <c r="G27" s="252"/>
      <c r="H27" s="38">
        <f>SUM(H24:H26)</f>
        <v>568405</v>
      </c>
      <c r="J27" s="82"/>
    </row>
    <row r="28" spans="1:10" ht="18" customHeight="1" x14ac:dyDescent="0.2">
      <c r="A28" s="24"/>
      <c r="B28" s="25" t="s">
        <v>258</v>
      </c>
      <c r="C28" s="26"/>
      <c r="D28" s="27"/>
      <c r="E28" s="27"/>
      <c r="F28" s="27"/>
      <c r="G28" s="28"/>
      <c r="H28" s="35"/>
      <c r="J28" s="82"/>
    </row>
    <row r="29" spans="1:10" ht="15.95" customHeight="1" x14ac:dyDescent="0.2">
      <c r="A29" s="40" t="s">
        <v>158</v>
      </c>
      <c r="B29" s="36" t="s">
        <v>324</v>
      </c>
      <c r="C29" s="41"/>
      <c r="D29" s="42"/>
      <c r="E29" s="42"/>
      <c r="F29" s="42"/>
      <c r="G29" s="43"/>
      <c r="H29" s="35"/>
      <c r="J29" s="82"/>
    </row>
    <row r="30" spans="1:10" ht="15.95" customHeight="1" x14ac:dyDescent="0.2">
      <c r="A30" s="40" t="s">
        <v>320</v>
      </c>
      <c r="B30" s="44" t="s">
        <v>322</v>
      </c>
      <c r="C30" s="41" t="s">
        <v>1</v>
      </c>
      <c r="D30" s="42">
        <v>75</v>
      </c>
      <c r="E30" s="42"/>
      <c r="F30" s="42"/>
      <c r="G30" s="43">
        <v>100</v>
      </c>
      <c r="H30" s="35">
        <f>+G30*D30</f>
        <v>7500</v>
      </c>
      <c r="J30" s="82"/>
    </row>
    <row r="31" spans="1:10" ht="15.95" customHeight="1" x14ac:dyDescent="0.2">
      <c r="A31" s="40" t="s">
        <v>321</v>
      </c>
      <c r="B31" s="44" t="s">
        <v>386</v>
      </c>
      <c r="C31" s="41" t="s">
        <v>1</v>
      </c>
      <c r="D31" s="42">
        <v>80</v>
      </c>
      <c r="E31" s="42"/>
      <c r="F31" s="42"/>
      <c r="G31" s="43">
        <v>150</v>
      </c>
      <c r="H31" s="35">
        <f>+G31*D31</f>
        <v>12000</v>
      </c>
      <c r="J31" s="82"/>
    </row>
    <row r="32" spans="1:10" ht="15.95" customHeight="1" x14ac:dyDescent="0.2">
      <c r="A32" s="40" t="s">
        <v>385</v>
      </c>
      <c r="B32" s="44" t="s">
        <v>323</v>
      </c>
      <c r="C32" s="41" t="s">
        <v>1</v>
      </c>
      <c r="D32" s="42">
        <v>105</v>
      </c>
      <c r="E32" s="42"/>
      <c r="F32" s="42"/>
      <c r="G32" s="43">
        <v>170</v>
      </c>
      <c r="H32" s="35">
        <f>+G32*D32</f>
        <v>17850</v>
      </c>
      <c r="J32" s="82"/>
    </row>
    <row r="33" spans="1:10" ht="15.95" customHeight="1" x14ac:dyDescent="0.2">
      <c r="A33" s="40" t="s">
        <v>159</v>
      </c>
      <c r="B33" s="44" t="s">
        <v>259</v>
      </c>
      <c r="C33" s="41"/>
      <c r="D33" s="42"/>
      <c r="E33" s="42"/>
      <c r="F33" s="42"/>
      <c r="G33" s="43"/>
      <c r="H33" s="35"/>
      <c r="J33" s="82"/>
    </row>
    <row r="34" spans="1:10" ht="15.95" customHeight="1" x14ac:dyDescent="0.2">
      <c r="A34" s="40" t="s">
        <v>260</v>
      </c>
      <c r="B34" s="45" t="s">
        <v>262</v>
      </c>
      <c r="C34" s="32" t="s">
        <v>76</v>
      </c>
      <c r="D34" s="37">
        <v>16</v>
      </c>
      <c r="E34" s="37"/>
      <c r="F34" s="37"/>
      <c r="G34" s="34">
        <v>250</v>
      </c>
      <c r="H34" s="35">
        <f>+G34*D34</f>
        <v>4000</v>
      </c>
      <c r="I34" s="34"/>
      <c r="J34" s="82"/>
    </row>
    <row r="35" spans="1:10" ht="15.95" customHeight="1" x14ac:dyDescent="0.2">
      <c r="A35" s="40" t="s">
        <v>261</v>
      </c>
      <c r="B35" s="46" t="s">
        <v>388</v>
      </c>
      <c r="C35" s="32" t="s">
        <v>76</v>
      </c>
      <c r="D35" s="37">
        <v>12</v>
      </c>
      <c r="E35" s="37"/>
      <c r="F35" s="37"/>
      <c r="G35" s="34">
        <v>300</v>
      </c>
      <c r="H35" s="35">
        <f t="shared" ref="H35:H41" si="0">+G35*D35</f>
        <v>3600</v>
      </c>
      <c r="I35" s="34"/>
      <c r="J35" s="82"/>
    </row>
    <row r="36" spans="1:10" ht="15.95" customHeight="1" x14ac:dyDescent="0.2">
      <c r="A36" s="40" t="s">
        <v>387</v>
      </c>
      <c r="B36" s="46" t="s">
        <v>263</v>
      </c>
      <c r="C36" s="32" t="s">
        <v>76</v>
      </c>
      <c r="D36" s="37">
        <v>3</v>
      </c>
      <c r="E36" s="37"/>
      <c r="F36" s="37"/>
      <c r="G36" s="34">
        <v>300</v>
      </c>
      <c r="H36" s="35">
        <f t="shared" si="0"/>
        <v>900</v>
      </c>
      <c r="I36" s="34"/>
      <c r="J36" s="82"/>
    </row>
    <row r="37" spans="1:10" ht="15.95" customHeight="1" x14ac:dyDescent="0.2">
      <c r="A37" s="40" t="s">
        <v>160</v>
      </c>
      <c r="B37" s="46" t="s">
        <v>290</v>
      </c>
      <c r="C37" s="41" t="s">
        <v>1</v>
      </c>
      <c r="D37" s="42">
        <v>0.2</v>
      </c>
      <c r="E37" s="42"/>
      <c r="F37" s="42"/>
      <c r="G37" s="43">
        <v>250</v>
      </c>
      <c r="H37" s="35">
        <f t="shared" si="0"/>
        <v>50</v>
      </c>
      <c r="I37" s="43"/>
      <c r="J37" s="82"/>
    </row>
    <row r="38" spans="1:10" ht="15" customHeight="1" x14ac:dyDescent="0.2">
      <c r="A38" s="40" t="s">
        <v>161</v>
      </c>
      <c r="B38" s="39" t="s">
        <v>325</v>
      </c>
      <c r="C38" s="32" t="s">
        <v>76</v>
      </c>
      <c r="D38" s="42">
        <v>3</v>
      </c>
      <c r="E38" s="42"/>
      <c r="F38" s="42"/>
      <c r="G38" s="43">
        <v>5000</v>
      </c>
      <c r="H38" s="35">
        <f t="shared" si="0"/>
        <v>15000</v>
      </c>
      <c r="I38" s="43"/>
      <c r="J38" s="82"/>
    </row>
    <row r="39" spans="1:10" ht="15" customHeight="1" x14ac:dyDescent="0.2">
      <c r="A39" s="40" t="s">
        <v>162</v>
      </c>
      <c r="B39" s="46" t="s">
        <v>319</v>
      </c>
      <c r="C39" s="32" t="s">
        <v>76</v>
      </c>
      <c r="D39" s="42">
        <v>3</v>
      </c>
      <c r="E39" s="42"/>
      <c r="F39" s="42"/>
      <c r="G39" s="43">
        <v>5000</v>
      </c>
      <c r="H39" s="35">
        <f t="shared" si="0"/>
        <v>15000</v>
      </c>
      <c r="I39" s="43"/>
      <c r="J39" s="82"/>
    </row>
    <row r="40" spans="1:10" s="14" customFormat="1" x14ac:dyDescent="0.2">
      <c r="A40" s="40" t="s">
        <v>389</v>
      </c>
      <c r="B40" s="47" t="s">
        <v>436</v>
      </c>
      <c r="C40" s="32" t="s">
        <v>76</v>
      </c>
      <c r="D40" s="42">
        <v>2</v>
      </c>
      <c r="E40" s="42"/>
      <c r="F40" s="42"/>
      <c r="G40" s="43">
        <v>1500</v>
      </c>
      <c r="H40" s="35">
        <f t="shared" si="0"/>
        <v>3000</v>
      </c>
      <c r="I40" s="43"/>
      <c r="J40" s="82"/>
    </row>
    <row r="41" spans="1:10" s="14" customFormat="1" x14ac:dyDescent="0.2">
      <c r="A41" s="40" t="s">
        <v>390</v>
      </c>
      <c r="B41" s="46" t="s">
        <v>391</v>
      </c>
      <c r="C41" s="32" t="s">
        <v>76</v>
      </c>
      <c r="D41" s="42">
        <v>2</v>
      </c>
      <c r="E41" s="42"/>
      <c r="F41" s="42"/>
      <c r="G41" s="43">
        <v>3500</v>
      </c>
      <c r="H41" s="35">
        <f t="shared" si="0"/>
        <v>7000</v>
      </c>
      <c r="I41" s="43"/>
      <c r="J41" s="82"/>
    </row>
    <row r="42" spans="1:10" ht="18" customHeight="1" x14ac:dyDescent="0.2">
      <c r="A42" s="250" t="s">
        <v>100</v>
      </c>
      <c r="B42" s="251"/>
      <c r="C42" s="251"/>
      <c r="D42" s="251"/>
      <c r="E42" s="251"/>
      <c r="F42" s="251"/>
      <c r="G42" s="252"/>
      <c r="H42" s="38">
        <f>SUM(H28:H41)</f>
        <v>85900</v>
      </c>
      <c r="J42" s="82"/>
    </row>
    <row r="43" spans="1:10" ht="18" customHeight="1" x14ac:dyDescent="0.2">
      <c r="A43" s="24"/>
      <c r="B43" s="25" t="s">
        <v>163</v>
      </c>
      <c r="C43" s="26"/>
      <c r="D43" s="27"/>
      <c r="E43" s="27"/>
      <c r="F43" s="27"/>
      <c r="G43" s="28"/>
      <c r="H43" s="35"/>
      <c r="J43" s="82"/>
    </row>
    <row r="44" spans="1:10" ht="15.95" customHeight="1" x14ac:dyDescent="0.2">
      <c r="A44" s="30" t="s">
        <v>164</v>
      </c>
      <c r="B44" s="39" t="s">
        <v>289</v>
      </c>
      <c r="C44" s="32" t="s">
        <v>5</v>
      </c>
      <c r="D44" s="37">
        <v>446</v>
      </c>
      <c r="E44" s="37"/>
      <c r="F44" s="37"/>
      <c r="G44" s="34">
        <v>1000</v>
      </c>
      <c r="H44" s="35">
        <f t="shared" ref="H44:H52" si="1">+G44*D44</f>
        <v>446000</v>
      </c>
      <c r="I44" s="34"/>
      <c r="J44" s="82"/>
    </row>
    <row r="45" spans="1:10" ht="15.95" customHeight="1" x14ac:dyDescent="0.2">
      <c r="A45" s="30" t="s">
        <v>165</v>
      </c>
      <c r="B45" s="46" t="s">
        <v>264</v>
      </c>
      <c r="C45" s="41" t="s">
        <v>79</v>
      </c>
      <c r="D45" s="37">
        <v>59484</v>
      </c>
      <c r="E45" s="37"/>
      <c r="F45" s="37"/>
      <c r="G45" s="34">
        <v>11</v>
      </c>
      <c r="H45" s="35">
        <f t="shared" si="1"/>
        <v>654324</v>
      </c>
      <c r="I45" s="34"/>
      <c r="J45" s="82"/>
    </row>
    <row r="46" spans="1:10" ht="15.95" customHeight="1" x14ac:dyDescent="0.2">
      <c r="A46" s="30" t="s">
        <v>166</v>
      </c>
      <c r="B46" s="46" t="s">
        <v>36</v>
      </c>
      <c r="C46" s="41"/>
      <c r="D46" s="42"/>
      <c r="E46" s="42"/>
      <c r="F46" s="42"/>
      <c r="G46" s="34"/>
      <c r="H46" s="35"/>
      <c r="I46" s="34"/>
      <c r="J46" s="82"/>
    </row>
    <row r="47" spans="1:10" ht="15.95" customHeight="1" x14ac:dyDescent="0.2">
      <c r="A47" s="30" t="s">
        <v>359</v>
      </c>
      <c r="B47" s="39" t="s">
        <v>362</v>
      </c>
      <c r="C47" s="41" t="s">
        <v>4</v>
      </c>
      <c r="D47" s="37">
        <v>1263</v>
      </c>
      <c r="E47" s="37"/>
      <c r="F47" s="37"/>
      <c r="G47" s="34">
        <v>220</v>
      </c>
      <c r="H47" s="35">
        <f t="shared" si="1"/>
        <v>277860</v>
      </c>
      <c r="I47" s="34"/>
      <c r="J47" s="82"/>
    </row>
    <row r="48" spans="1:10" ht="15.95" customHeight="1" x14ac:dyDescent="0.2">
      <c r="A48" s="30" t="s">
        <v>360</v>
      </c>
      <c r="B48" s="39" t="s">
        <v>363</v>
      </c>
      <c r="C48" s="41" t="s">
        <v>4</v>
      </c>
      <c r="D48" s="37">
        <v>394</v>
      </c>
      <c r="E48" s="37"/>
      <c r="F48" s="37"/>
      <c r="G48" s="34">
        <v>260</v>
      </c>
      <c r="H48" s="35">
        <f t="shared" si="1"/>
        <v>102440</v>
      </c>
      <c r="I48" s="34"/>
      <c r="J48" s="82"/>
    </row>
    <row r="49" spans="1:10" ht="15.95" customHeight="1" x14ac:dyDescent="0.2">
      <c r="A49" s="30" t="s">
        <v>361</v>
      </c>
      <c r="B49" s="46" t="s">
        <v>364</v>
      </c>
      <c r="C49" s="41" t="s">
        <v>4</v>
      </c>
      <c r="D49" s="37">
        <v>585</v>
      </c>
      <c r="E49" s="37"/>
      <c r="F49" s="37"/>
      <c r="G49" s="34">
        <v>300</v>
      </c>
      <c r="H49" s="35">
        <f t="shared" si="1"/>
        <v>175500</v>
      </c>
      <c r="I49" s="34"/>
      <c r="J49" s="82"/>
    </row>
    <row r="50" spans="1:10" ht="15.95" customHeight="1" x14ac:dyDescent="0.2">
      <c r="A50" s="30" t="s">
        <v>167</v>
      </c>
      <c r="B50" s="46" t="s">
        <v>7</v>
      </c>
      <c r="C50" s="41" t="s">
        <v>1</v>
      </c>
      <c r="D50" s="37">
        <v>46</v>
      </c>
      <c r="E50" s="37"/>
      <c r="F50" s="37"/>
      <c r="G50" s="34">
        <v>50</v>
      </c>
      <c r="H50" s="35">
        <f t="shared" si="1"/>
        <v>2300</v>
      </c>
      <c r="I50" s="34"/>
      <c r="J50" s="82"/>
    </row>
    <row r="51" spans="1:10" ht="15.95" customHeight="1" x14ac:dyDescent="0.2">
      <c r="A51" s="30" t="s">
        <v>168</v>
      </c>
      <c r="B51" s="48" t="s">
        <v>265</v>
      </c>
      <c r="C51" s="41" t="s">
        <v>4</v>
      </c>
      <c r="D51" s="42">
        <v>40</v>
      </c>
      <c r="E51" s="42"/>
      <c r="F51" s="42"/>
      <c r="G51" s="43">
        <v>100</v>
      </c>
      <c r="H51" s="35">
        <f t="shared" si="1"/>
        <v>4000</v>
      </c>
      <c r="I51" s="43"/>
      <c r="J51" s="82"/>
    </row>
    <row r="52" spans="1:10" ht="15.95" customHeight="1" x14ac:dyDescent="0.2">
      <c r="A52" s="30" t="s">
        <v>169</v>
      </c>
      <c r="B52" s="46" t="s">
        <v>266</v>
      </c>
      <c r="C52" s="41" t="s">
        <v>1</v>
      </c>
      <c r="D52" s="42">
        <v>222</v>
      </c>
      <c r="E52" s="42"/>
      <c r="F52" s="42"/>
      <c r="G52" s="43">
        <v>60</v>
      </c>
      <c r="H52" s="35">
        <f t="shared" si="1"/>
        <v>13320</v>
      </c>
      <c r="I52" s="43"/>
      <c r="J52" s="82"/>
    </row>
    <row r="53" spans="1:10" ht="18" customHeight="1" x14ac:dyDescent="0.2">
      <c r="A53" s="250" t="s">
        <v>101</v>
      </c>
      <c r="B53" s="251"/>
      <c r="C53" s="251"/>
      <c r="D53" s="251"/>
      <c r="E53" s="251"/>
      <c r="F53" s="251"/>
      <c r="G53" s="252"/>
      <c r="H53" s="38">
        <f>SUM(H43:H52)</f>
        <v>1675744</v>
      </c>
      <c r="J53" s="82"/>
    </row>
    <row r="54" spans="1:10" ht="18" customHeight="1" x14ac:dyDescent="0.2">
      <c r="A54" s="24"/>
      <c r="B54" s="25" t="s">
        <v>170</v>
      </c>
      <c r="C54" s="26"/>
      <c r="D54" s="27"/>
      <c r="E54" s="27"/>
      <c r="F54" s="27"/>
      <c r="G54" s="28"/>
      <c r="H54" s="35"/>
      <c r="J54" s="82"/>
    </row>
    <row r="55" spans="1:10" ht="15.95" customHeight="1" x14ac:dyDescent="0.2">
      <c r="A55" s="40" t="s">
        <v>171</v>
      </c>
      <c r="B55" s="46" t="s">
        <v>267</v>
      </c>
      <c r="C55" s="41" t="s">
        <v>4</v>
      </c>
      <c r="D55" s="42">
        <v>898</v>
      </c>
      <c r="E55" s="42"/>
      <c r="F55" s="42"/>
      <c r="G55" s="43">
        <v>190</v>
      </c>
      <c r="H55" s="35">
        <f t="shared" ref="H55:H60" si="2">+G55*D55</f>
        <v>170620</v>
      </c>
      <c r="J55" s="82"/>
    </row>
    <row r="56" spans="1:10" ht="15.95" customHeight="1" x14ac:dyDescent="0.2">
      <c r="A56" s="40" t="s">
        <v>336</v>
      </c>
      <c r="B56" s="46" t="s">
        <v>304</v>
      </c>
      <c r="C56" s="41" t="s">
        <v>4</v>
      </c>
      <c r="D56" s="42">
        <v>1280</v>
      </c>
      <c r="E56" s="42"/>
      <c r="F56" s="42"/>
      <c r="G56" s="43">
        <v>100</v>
      </c>
      <c r="H56" s="35">
        <f t="shared" si="2"/>
        <v>128000</v>
      </c>
      <c r="J56" s="82"/>
    </row>
    <row r="57" spans="1:10" ht="15.75" customHeight="1" x14ac:dyDescent="0.2">
      <c r="A57" s="40" t="s">
        <v>172</v>
      </c>
      <c r="B57" s="46" t="s">
        <v>82</v>
      </c>
      <c r="C57" s="41" t="s">
        <v>4</v>
      </c>
      <c r="D57" s="42">
        <v>630</v>
      </c>
      <c r="E57" s="42"/>
      <c r="F57" s="42"/>
      <c r="G57" s="43">
        <v>90</v>
      </c>
      <c r="H57" s="35">
        <f t="shared" si="2"/>
        <v>56700</v>
      </c>
      <c r="J57" s="82"/>
    </row>
    <row r="58" spans="1:10" ht="15.95" customHeight="1" x14ac:dyDescent="0.2">
      <c r="A58" s="40" t="s">
        <v>173</v>
      </c>
      <c r="B58" s="46" t="s">
        <v>327</v>
      </c>
      <c r="C58" s="41" t="s">
        <v>1</v>
      </c>
      <c r="D58" s="42">
        <v>378</v>
      </c>
      <c r="E58" s="42"/>
      <c r="F58" s="42"/>
      <c r="G58" s="43">
        <v>750</v>
      </c>
      <c r="H58" s="35">
        <f t="shared" si="2"/>
        <v>283500</v>
      </c>
      <c r="J58" s="82"/>
    </row>
    <row r="59" spans="1:10" ht="15.75" customHeight="1" x14ac:dyDescent="0.2">
      <c r="A59" s="40" t="s">
        <v>174</v>
      </c>
      <c r="B59" s="46" t="s">
        <v>326</v>
      </c>
      <c r="C59" s="41" t="s">
        <v>1</v>
      </c>
      <c r="D59" s="42">
        <v>80</v>
      </c>
      <c r="E59" s="42"/>
      <c r="F59" s="42"/>
      <c r="G59" s="43">
        <v>800</v>
      </c>
      <c r="H59" s="35">
        <f t="shared" si="2"/>
        <v>64000</v>
      </c>
      <c r="J59" s="82"/>
    </row>
    <row r="60" spans="1:10" ht="15.75" customHeight="1" x14ac:dyDescent="0.2">
      <c r="A60" s="40" t="s">
        <v>175</v>
      </c>
      <c r="B60" s="46" t="s">
        <v>402</v>
      </c>
      <c r="C60" s="41" t="s">
        <v>1</v>
      </c>
      <c r="D60" s="42">
        <v>145</v>
      </c>
      <c r="E60" s="42"/>
      <c r="F60" s="42"/>
      <c r="G60" s="43">
        <v>300</v>
      </c>
      <c r="H60" s="35">
        <f t="shared" si="2"/>
        <v>43500</v>
      </c>
      <c r="J60" s="82"/>
    </row>
    <row r="61" spans="1:10" s="5" customFormat="1" ht="18" customHeight="1" x14ac:dyDescent="0.2">
      <c r="A61" s="250" t="s">
        <v>102</v>
      </c>
      <c r="B61" s="251"/>
      <c r="C61" s="251"/>
      <c r="D61" s="251"/>
      <c r="E61" s="251"/>
      <c r="F61" s="251"/>
      <c r="G61" s="252"/>
      <c r="H61" s="38">
        <f>SUM(H54:H60)</f>
        <v>746320</v>
      </c>
      <c r="J61" s="82"/>
    </row>
    <row r="62" spans="1:10" ht="18" customHeight="1" x14ac:dyDescent="0.2">
      <c r="A62" s="24"/>
      <c r="B62" s="25" t="s">
        <v>177</v>
      </c>
      <c r="C62" s="26"/>
      <c r="D62" s="27"/>
      <c r="E62" s="27"/>
      <c r="F62" s="27"/>
      <c r="G62" s="28"/>
      <c r="H62" s="35"/>
      <c r="J62" s="82"/>
    </row>
    <row r="63" spans="1:10" ht="15.95" customHeight="1" x14ac:dyDescent="0.2">
      <c r="A63" s="40" t="s">
        <v>176</v>
      </c>
      <c r="B63" s="46" t="s">
        <v>377</v>
      </c>
      <c r="C63" s="41" t="s">
        <v>4</v>
      </c>
      <c r="D63" s="42">
        <v>320</v>
      </c>
      <c r="E63" s="42"/>
      <c r="F63" s="42"/>
      <c r="G63" s="43">
        <v>30</v>
      </c>
      <c r="H63" s="35">
        <f>+G63*D63</f>
        <v>9600</v>
      </c>
      <c r="I63" s="43"/>
      <c r="J63" s="82"/>
    </row>
    <row r="64" spans="1:10" ht="15.95" customHeight="1" x14ac:dyDescent="0.2">
      <c r="A64" s="40" t="s">
        <v>178</v>
      </c>
      <c r="B64" s="46" t="s">
        <v>437</v>
      </c>
      <c r="C64" s="41" t="s">
        <v>4</v>
      </c>
      <c r="D64" s="42">
        <v>3460</v>
      </c>
      <c r="E64" s="42"/>
      <c r="F64" s="42"/>
      <c r="G64" s="43">
        <v>30</v>
      </c>
      <c r="H64" s="35">
        <f>+G64*D64</f>
        <v>103800</v>
      </c>
      <c r="I64" s="43"/>
      <c r="J64" s="82"/>
    </row>
    <row r="65" spans="1:10" x14ac:dyDescent="0.2">
      <c r="A65" s="40" t="s">
        <v>179</v>
      </c>
      <c r="B65" s="45" t="s">
        <v>84</v>
      </c>
      <c r="C65" s="41" t="s">
        <v>4</v>
      </c>
      <c r="D65" s="42">
        <v>3300</v>
      </c>
      <c r="E65" s="42"/>
      <c r="F65" s="42"/>
      <c r="G65" s="43">
        <v>30</v>
      </c>
      <c r="H65" s="35">
        <f>+G65*D65</f>
        <v>99000</v>
      </c>
      <c r="I65" s="43"/>
      <c r="J65" s="82"/>
    </row>
    <row r="66" spans="1:10" ht="16.5" customHeight="1" x14ac:dyDescent="0.2">
      <c r="A66" s="40" t="s">
        <v>180</v>
      </c>
      <c r="B66" s="45" t="s">
        <v>268</v>
      </c>
      <c r="C66" s="41" t="s">
        <v>4</v>
      </c>
      <c r="D66" s="42">
        <v>1845</v>
      </c>
      <c r="E66" s="42"/>
      <c r="F66" s="42"/>
      <c r="G66" s="43">
        <v>20</v>
      </c>
      <c r="H66" s="35">
        <f>+G66*D66</f>
        <v>36900</v>
      </c>
      <c r="I66" s="43"/>
      <c r="J66" s="82"/>
    </row>
    <row r="67" spans="1:10" ht="17.100000000000001" customHeight="1" x14ac:dyDescent="0.2">
      <c r="A67" s="40" t="s">
        <v>365</v>
      </c>
      <c r="B67" s="46" t="s">
        <v>269</v>
      </c>
      <c r="C67" s="41" t="s">
        <v>1</v>
      </c>
      <c r="D67" s="42">
        <v>630</v>
      </c>
      <c r="E67" s="42"/>
      <c r="F67" s="42"/>
      <c r="G67" s="43">
        <v>20</v>
      </c>
      <c r="H67" s="35">
        <f>+G67*D67</f>
        <v>12600</v>
      </c>
      <c r="I67" s="43"/>
      <c r="J67" s="82"/>
    </row>
    <row r="68" spans="1:10" ht="18" customHeight="1" x14ac:dyDescent="0.2">
      <c r="A68" s="250" t="s">
        <v>103</v>
      </c>
      <c r="B68" s="251"/>
      <c r="C68" s="251"/>
      <c r="D68" s="251"/>
      <c r="E68" s="251"/>
      <c r="F68" s="251"/>
      <c r="G68" s="252"/>
      <c r="H68" s="38">
        <f>SUM(H62:H67)</f>
        <v>261900</v>
      </c>
      <c r="J68" s="82"/>
    </row>
    <row r="69" spans="1:10" ht="18" customHeight="1" x14ac:dyDescent="0.2">
      <c r="A69" s="24"/>
      <c r="B69" s="25" t="s">
        <v>181</v>
      </c>
      <c r="C69" s="26"/>
      <c r="D69" s="27"/>
      <c r="E69" s="27"/>
      <c r="F69" s="27"/>
      <c r="G69" s="28"/>
      <c r="H69" s="35"/>
      <c r="J69" s="82"/>
    </row>
    <row r="70" spans="1:10" ht="15.95" customHeight="1" x14ac:dyDescent="0.2">
      <c r="A70" s="40" t="s">
        <v>403</v>
      </c>
      <c r="B70" s="45" t="s">
        <v>313</v>
      </c>
      <c r="C70" s="41" t="s">
        <v>76</v>
      </c>
      <c r="D70" s="42">
        <v>8</v>
      </c>
      <c r="E70" s="42"/>
      <c r="F70" s="42"/>
      <c r="G70" s="43">
        <v>400</v>
      </c>
      <c r="H70" s="35">
        <f t="shared" ref="H70:H78" si="3">+G70*D70</f>
        <v>3200</v>
      </c>
      <c r="I70" s="43"/>
      <c r="J70" s="82"/>
    </row>
    <row r="71" spans="1:10" ht="15.95" customHeight="1" x14ac:dyDescent="0.2">
      <c r="A71" s="40" t="s">
        <v>182</v>
      </c>
      <c r="B71" s="39" t="s">
        <v>305</v>
      </c>
      <c r="C71" s="32" t="s">
        <v>76</v>
      </c>
      <c r="D71" s="37">
        <v>2</v>
      </c>
      <c r="E71" s="37"/>
      <c r="F71" s="37"/>
      <c r="G71" s="34">
        <v>300</v>
      </c>
      <c r="H71" s="35">
        <f t="shared" si="3"/>
        <v>600</v>
      </c>
      <c r="I71" s="34"/>
      <c r="J71" s="82"/>
    </row>
    <row r="72" spans="1:10" ht="15.95" customHeight="1" x14ac:dyDescent="0.2">
      <c r="A72" s="40" t="s">
        <v>337</v>
      </c>
      <c r="B72" s="49" t="s">
        <v>366</v>
      </c>
      <c r="C72" s="32" t="s">
        <v>4</v>
      </c>
      <c r="D72" s="37">
        <v>54</v>
      </c>
      <c r="E72" s="37"/>
      <c r="F72" s="37"/>
      <c r="G72" s="34">
        <v>700</v>
      </c>
      <c r="H72" s="35">
        <f t="shared" si="3"/>
        <v>37800</v>
      </c>
      <c r="I72" s="34"/>
      <c r="J72" s="82"/>
    </row>
    <row r="73" spans="1:10" ht="15.95" customHeight="1" x14ac:dyDescent="0.2">
      <c r="A73" s="40" t="s">
        <v>183</v>
      </c>
      <c r="B73" s="47" t="s">
        <v>126</v>
      </c>
      <c r="C73" s="32" t="s">
        <v>1</v>
      </c>
      <c r="D73" s="37">
        <v>2.6</v>
      </c>
      <c r="E73" s="37"/>
      <c r="F73" s="37"/>
      <c r="G73" s="34">
        <v>1500</v>
      </c>
      <c r="H73" s="35">
        <f t="shared" si="3"/>
        <v>3900</v>
      </c>
      <c r="I73" s="34"/>
      <c r="J73" s="82"/>
    </row>
    <row r="74" spans="1:10" ht="15.95" customHeight="1" x14ac:dyDescent="0.2">
      <c r="A74" s="40" t="s">
        <v>184</v>
      </c>
      <c r="B74" s="39" t="s">
        <v>37</v>
      </c>
      <c r="C74" s="32" t="s">
        <v>4</v>
      </c>
      <c r="D74" s="37">
        <v>8</v>
      </c>
      <c r="E74" s="37"/>
      <c r="F74" s="37"/>
      <c r="G74" s="34">
        <v>150</v>
      </c>
      <c r="H74" s="35">
        <f t="shared" si="3"/>
        <v>1200</v>
      </c>
      <c r="I74" s="34"/>
      <c r="J74" s="82"/>
    </row>
    <row r="75" spans="1:10" ht="15.95" customHeight="1" x14ac:dyDescent="0.2">
      <c r="A75" s="40" t="s">
        <v>185</v>
      </c>
      <c r="B75" s="46" t="s">
        <v>133</v>
      </c>
      <c r="C75" s="41" t="s">
        <v>76</v>
      </c>
      <c r="D75" s="42">
        <v>10</v>
      </c>
      <c r="E75" s="42"/>
      <c r="F75" s="42"/>
      <c r="G75" s="43">
        <v>200</v>
      </c>
      <c r="H75" s="35">
        <f t="shared" si="3"/>
        <v>2000</v>
      </c>
      <c r="I75" s="43"/>
      <c r="J75" s="82"/>
    </row>
    <row r="76" spans="1:10" ht="15.95" customHeight="1" x14ac:dyDescent="0.2">
      <c r="A76" s="40" t="s">
        <v>186</v>
      </c>
      <c r="B76" s="39" t="s">
        <v>270</v>
      </c>
      <c r="C76" s="32" t="s">
        <v>1</v>
      </c>
      <c r="D76" s="37">
        <v>15</v>
      </c>
      <c r="E76" s="37"/>
      <c r="F76" s="37"/>
      <c r="G76" s="34">
        <v>400</v>
      </c>
      <c r="H76" s="35">
        <f t="shared" si="3"/>
        <v>6000</v>
      </c>
      <c r="I76" s="34"/>
      <c r="J76" s="82"/>
    </row>
    <row r="77" spans="1:10" ht="18" customHeight="1" x14ac:dyDescent="0.2">
      <c r="A77" s="40" t="s">
        <v>187</v>
      </c>
      <c r="B77" s="47" t="s">
        <v>91</v>
      </c>
      <c r="C77" s="32" t="s">
        <v>76</v>
      </c>
      <c r="D77" s="37">
        <v>8</v>
      </c>
      <c r="E77" s="37"/>
      <c r="F77" s="37"/>
      <c r="G77" s="34">
        <v>600</v>
      </c>
      <c r="H77" s="35">
        <f t="shared" si="3"/>
        <v>4800</v>
      </c>
      <c r="I77" s="34"/>
      <c r="J77" s="82"/>
    </row>
    <row r="78" spans="1:10" ht="18" customHeight="1" x14ac:dyDescent="0.2">
      <c r="A78" s="40" t="s">
        <v>188</v>
      </c>
      <c r="B78" s="47" t="s">
        <v>438</v>
      </c>
      <c r="C78" s="32" t="s">
        <v>376</v>
      </c>
      <c r="D78" s="37">
        <v>58</v>
      </c>
      <c r="E78" s="37"/>
      <c r="F78" s="37"/>
      <c r="G78" s="34">
        <v>180</v>
      </c>
      <c r="H78" s="35">
        <f t="shared" si="3"/>
        <v>10440</v>
      </c>
      <c r="I78" s="34"/>
      <c r="J78" s="82"/>
    </row>
    <row r="79" spans="1:10" ht="18" customHeight="1" x14ac:dyDescent="0.2">
      <c r="A79" s="250" t="s">
        <v>104</v>
      </c>
      <c r="B79" s="251"/>
      <c r="C79" s="251"/>
      <c r="D79" s="251"/>
      <c r="E79" s="251"/>
      <c r="F79" s="251"/>
      <c r="G79" s="252"/>
      <c r="H79" s="38">
        <f>SUM(H69:H78)</f>
        <v>69940</v>
      </c>
      <c r="J79" s="82"/>
    </row>
    <row r="80" spans="1:10" ht="18" customHeight="1" x14ac:dyDescent="0.2">
      <c r="A80" s="250" t="s">
        <v>105</v>
      </c>
      <c r="B80" s="251"/>
      <c r="C80" s="251"/>
      <c r="D80" s="251"/>
      <c r="E80" s="251"/>
      <c r="F80" s="251"/>
      <c r="G80" s="252"/>
      <c r="H80" s="38">
        <f>H79+H68+H61+H53+H42+H27+H23+H18+H12</f>
        <v>3703409</v>
      </c>
      <c r="J80" s="82"/>
    </row>
    <row r="81" spans="1:10" ht="18" customHeight="1" x14ac:dyDescent="0.2">
      <c r="A81" s="24"/>
      <c r="B81" s="25" t="s">
        <v>189</v>
      </c>
      <c r="C81" s="26"/>
      <c r="D81" s="27"/>
      <c r="E81" s="27"/>
      <c r="F81" s="27"/>
      <c r="G81" s="28"/>
      <c r="H81" s="35"/>
      <c r="J81" s="82"/>
    </row>
    <row r="82" spans="1:10" ht="18" customHeight="1" x14ac:dyDescent="0.2">
      <c r="A82" s="40" t="s">
        <v>190</v>
      </c>
      <c r="B82" s="46" t="s">
        <v>120</v>
      </c>
      <c r="C82" s="41" t="s">
        <v>4</v>
      </c>
      <c r="D82" s="42">
        <v>2040</v>
      </c>
      <c r="E82" s="42"/>
      <c r="F82" s="42"/>
      <c r="G82" s="43">
        <v>25</v>
      </c>
      <c r="H82" s="35">
        <f t="shared" ref="H82:H90" si="4">+G82*D82</f>
        <v>51000</v>
      </c>
      <c r="I82" s="43"/>
      <c r="J82" s="82"/>
    </row>
    <row r="83" spans="1:10" ht="18" customHeight="1" x14ac:dyDescent="0.2">
      <c r="A83" s="40" t="s">
        <v>191</v>
      </c>
      <c r="B83" s="46" t="s">
        <v>439</v>
      </c>
      <c r="C83" s="41" t="s">
        <v>4</v>
      </c>
      <c r="D83" s="42">
        <v>1730</v>
      </c>
      <c r="E83" s="42"/>
      <c r="F83" s="42"/>
      <c r="G83" s="43">
        <v>120</v>
      </c>
      <c r="H83" s="35">
        <f t="shared" si="4"/>
        <v>207600</v>
      </c>
      <c r="I83" s="43"/>
      <c r="J83" s="82"/>
    </row>
    <row r="84" spans="1:10" ht="18" customHeight="1" x14ac:dyDescent="0.2">
      <c r="A84" s="40" t="s">
        <v>192</v>
      </c>
      <c r="B84" s="46" t="s">
        <v>8</v>
      </c>
      <c r="C84" s="41" t="s">
        <v>1</v>
      </c>
      <c r="D84" s="42">
        <v>630</v>
      </c>
      <c r="E84" s="42"/>
      <c r="F84" s="42"/>
      <c r="G84" s="43">
        <v>40</v>
      </c>
      <c r="H84" s="35">
        <f t="shared" si="4"/>
        <v>25200</v>
      </c>
      <c r="I84" s="43"/>
      <c r="J84" s="82"/>
    </row>
    <row r="85" spans="1:10" ht="18" customHeight="1" x14ac:dyDescent="0.2">
      <c r="A85" s="40" t="s">
        <v>193</v>
      </c>
      <c r="B85" s="46" t="s">
        <v>271</v>
      </c>
      <c r="C85" s="41" t="s">
        <v>4</v>
      </c>
      <c r="D85" s="42">
        <v>1730</v>
      </c>
      <c r="E85" s="42"/>
      <c r="F85" s="42"/>
      <c r="G85" s="43">
        <v>50</v>
      </c>
      <c r="H85" s="35">
        <f t="shared" si="4"/>
        <v>86500</v>
      </c>
      <c r="I85" s="43"/>
      <c r="J85" s="82"/>
    </row>
    <row r="86" spans="1:10" ht="18" customHeight="1" x14ac:dyDescent="0.2">
      <c r="A86" s="40" t="s">
        <v>194</v>
      </c>
      <c r="B86" s="46" t="s">
        <v>9</v>
      </c>
      <c r="C86" s="41" t="s">
        <v>1</v>
      </c>
      <c r="D86" s="42">
        <v>630</v>
      </c>
      <c r="E86" s="42"/>
      <c r="F86" s="42"/>
      <c r="G86" s="43">
        <v>30</v>
      </c>
      <c r="H86" s="35">
        <f t="shared" si="4"/>
        <v>18900</v>
      </c>
      <c r="I86" s="43"/>
      <c r="J86" s="82"/>
    </row>
    <row r="87" spans="1:10" ht="18" customHeight="1" x14ac:dyDescent="0.2">
      <c r="A87" s="40">
        <v>60</v>
      </c>
      <c r="B87" s="46" t="s">
        <v>440</v>
      </c>
      <c r="C87" s="41" t="s">
        <v>4</v>
      </c>
      <c r="D87" s="42">
        <v>450</v>
      </c>
      <c r="E87" s="42"/>
      <c r="F87" s="42"/>
      <c r="G87" s="43">
        <v>70</v>
      </c>
      <c r="H87" s="35">
        <f t="shared" si="4"/>
        <v>31500</v>
      </c>
      <c r="I87" s="43"/>
      <c r="J87" s="82"/>
    </row>
    <row r="88" spans="1:10" ht="18" customHeight="1" x14ac:dyDescent="0.2">
      <c r="A88" s="40" t="s">
        <v>338</v>
      </c>
      <c r="B88" s="46" t="s">
        <v>352</v>
      </c>
      <c r="C88" s="41" t="s">
        <v>4</v>
      </c>
      <c r="D88" s="42">
        <v>28</v>
      </c>
      <c r="E88" s="42"/>
      <c r="F88" s="42"/>
      <c r="G88" s="43">
        <v>70</v>
      </c>
      <c r="H88" s="35">
        <f t="shared" si="4"/>
        <v>1960</v>
      </c>
      <c r="I88" s="43"/>
      <c r="J88" s="82"/>
    </row>
    <row r="89" spans="1:10" ht="18" customHeight="1" x14ac:dyDescent="0.2">
      <c r="A89" s="40" t="s">
        <v>195</v>
      </c>
      <c r="B89" s="46" t="s">
        <v>328</v>
      </c>
      <c r="C89" s="41" t="s">
        <v>4</v>
      </c>
      <c r="D89" s="42">
        <v>88</v>
      </c>
      <c r="E89" s="42"/>
      <c r="F89" s="42"/>
      <c r="G89" s="43">
        <v>70</v>
      </c>
      <c r="H89" s="35">
        <f t="shared" si="4"/>
        <v>6160</v>
      </c>
      <c r="I89" s="43"/>
      <c r="J89" s="82"/>
    </row>
    <row r="90" spans="1:10" ht="18" customHeight="1" x14ac:dyDescent="0.2">
      <c r="A90" s="40" t="s">
        <v>196</v>
      </c>
      <c r="B90" s="46" t="s">
        <v>314</v>
      </c>
      <c r="C90" s="32" t="s">
        <v>76</v>
      </c>
      <c r="D90" s="42">
        <v>24</v>
      </c>
      <c r="E90" s="42"/>
      <c r="F90" s="42"/>
      <c r="G90" s="43">
        <v>400</v>
      </c>
      <c r="H90" s="35">
        <f t="shared" si="4"/>
        <v>9600</v>
      </c>
      <c r="I90" s="43"/>
      <c r="J90" s="82"/>
    </row>
    <row r="91" spans="1:10" s="5" customFormat="1" ht="18" customHeight="1" x14ac:dyDescent="0.2">
      <c r="A91" s="250" t="s">
        <v>107</v>
      </c>
      <c r="B91" s="251"/>
      <c r="C91" s="251"/>
      <c r="D91" s="251"/>
      <c r="E91" s="251"/>
      <c r="F91" s="251"/>
      <c r="G91" s="252"/>
      <c r="H91" s="38">
        <f>SUM(H81:H90)</f>
        <v>438420</v>
      </c>
      <c r="J91" s="82"/>
    </row>
    <row r="92" spans="1:10" ht="15.95" customHeight="1" x14ac:dyDescent="0.2">
      <c r="A92" s="24"/>
      <c r="B92" s="25" t="s">
        <v>272</v>
      </c>
      <c r="C92" s="26"/>
      <c r="D92" s="27"/>
      <c r="E92" s="27"/>
      <c r="F92" s="27"/>
      <c r="G92" s="28"/>
      <c r="H92" s="35"/>
      <c r="J92" s="82"/>
    </row>
    <row r="93" spans="1:10" ht="15.95" customHeight="1" x14ac:dyDescent="0.2">
      <c r="A93" s="40" t="s">
        <v>197</v>
      </c>
      <c r="B93" s="46" t="s">
        <v>368</v>
      </c>
      <c r="C93" s="41" t="s">
        <v>4</v>
      </c>
      <c r="D93" s="42">
        <v>1560</v>
      </c>
      <c r="E93" s="42"/>
      <c r="F93" s="42"/>
      <c r="G93" s="43">
        <v>120</v>
      </c>
      <c r="H93" s="35">
        <f t="shared" ref="H93:H106" si="5">+G93*D93</f>
        <v>187200</v>
      </c>
      <c r="J93" s="82"/>
    </row>
    <row r="94" spans="1:10" ht="15.95" customHeight="1" x14ac:dyDescent="0.2">
      <c r="A94" s="40" t="s">
        <v>198</v>
      </c>
      <c r="B94" s="50" t="s">
        <v>367</v>
      </c>
      <c r="C94" s="51" t="s">
        <v>4</v>
      </c>
      <c r="D94" s="37">
        <v>405</v>
      </c>
      <c r="E94" s="37"/>
      <c r="F94" s="37"/>
      <c r="G94" s="34">
        <v>140</v>
      </c>
      <c r="H94" s="35">
        <f t="shared" si="5"/>
        <v>56700</v>
      </c>
      <c r="J94" s="82"/>
    </row>
    <row r="95" spans="1:10" ht="15.95" customHeight="1" x14ac:dyDescent="0.2">
      <c r="A95" s="40" t="s">
        <v>199</v>
      </c>
      <c r="B95" s="52" t="s">
        <v>371</v>
      </c>
      <c r="C95" s="41" t="s">
        <v>1</v>
      </c>
      <c r="D95" s="42">
        <v>1160</v>
      </c>
      <c r="E95" s="42"/>
      <c r="F95" s="42"/>
      <c r="G95" s="43">
        <v>30</v>
      </c>
      <c r="H95" s="35">
        <f t="shared" si="5"/>
        <v>34800</v>
      </c>
      <c r="J95" s="82"/>
    </row>
    <row r="96" spans="1:10" ht="15.95" customHeight="1" x14ac:dyDescent="0.2">
      <c r="A96" s="40" t="s">
        <v>200</v>
      </c>
      <c r="B96" s="46" t="s">
        <v>404</v>
      </c>
      <c r="C96" s="41" t="s">
        <v>4</v>
      </c>
      <c r="D96" s="42">
        <v>685</v>
      </c>
      <c r="E96" s="42"/>
      <c r="F96" s="42"/>
      <c r="G96" s="43">
        <v>90</v>
      </c>
      <c r="H96" s="35">
        <f t="shared" si="5"/>
        <v>61650</v>
      </c>
      <c r="J96" s="82"/>
    </row>
    <row r="97" spans="1:10" ht="15.95" customHeight="1" x14ac:dyDescent="0.2">
      <c r="A97" s="40" t="s">
        <v>201</v>
      </c>
      <c r="B97" s="53" t="s">
        <v>369</v>
      </c>
      <c r="C97" s="41" t="s">
        <v>1</v>
      </c>
      <c r="D97" s="42">
        <v>34</v>
      </c>
      <c r="E97" s="42"/>
      <c r="F97" s="42"/>
      <c r="G97" s="43">
        <v>25</v>
      </c>
      <c r="H97" s="35">
        <f t="shared" si="5"/>
        <v>850</v>
      </c>
      <c r="I97" s="10"/>
      <c r="J97" s="82"/>
    </row>
    <row r="98" spans="1:10" ht="18" customHeight="1" x14ac:dyDescent="0.2">
      <c r="A98" s="40" t="s">
        <v>339</v>
      </c>
      <c r="B98" s="54" t="s">
        <v>405</v>
      </c>
      <c r="C98" s="41" t="s">
        <v>1</v>
      </c>
      <c r="D98" s="42">
        <v>92</v>
      </c>
      <c r="E98" s="42"/>
      <c r="F98" s="42"/>
      <c r="G98" s="43">
        <v>60</v>
      </c>
      <c r="H98" s="35">
        <f t="shared" si="5"/>
        <v>5520</v>
      </c>
      <c r="J98" s="82"/>
    </row>
    <row r="99" spans="1:10" ht="18" customHeight="1" x14ac:dyDescent="0.2">
      <c r="A99" s="40" t="s">
        <v>202</v>
      </c>
      <c r="B99" s="54" t="s">
        <v>291</v>
      </c>
      <c r="C99" s="41" t="s">
        <v>1</v>
      </c>
      <c r="D99" s="42">
        <v>92</v>
      </c>
      <c r="E99" s="42"/>
      <c r="F99" s="42"/>
      <c r="G99" s="43">
        <v>40</v>
      </c>
      <c r="H99" s="35">
        <f t="shared" si="5"/>
        <v>3680</v>
      </c>
      <c r="J99" s="82"/>
    </row>
    <row r="100" spans="1:10" ht="18" customHeight="1" x14ac:dyDescent="0.2">
      <c r="A100" s="40" t="s">
        <v>203</v>
      </c>
      <c r="B100" s="45" t="s">
        <v>273</v>
      </c>
      <c r="C100" s="41" t="s">
        <v>4</v>
      </c>
      <c r="D100" s="42">
        <v>496</v>
      </c>
      <c r="E100" s="42"/>
      <c r="F100" s="42"/>
      <c r="G100" s="43">
        <v>140</v>
      </c>
      <c r="H100" s="35">
        <f t="shared" si="5"/>
        <v>69440</v>
      </c>
      <c r="J100" s="82"/>
    </row>
    <row r="101" spans="1:10" ht="15.95" customHeight="1" x14ac:dyDescent="0.2">
      <c r="A101" s="40" t="s">
        <v>340</v>
      </c>
      <c r="B101" s="55" t="s">
        <v>353</v>
      </c>
      <c r="C101" s="41" t="s">
        <v>4</v>
      </c>
      <c r="D101" s="42">
        <v>40</v>
      </c>
      <c r="E101" s="42"/>
      <c r="F101" s="42"/>
      <c r="G101" s="43">
        <v>180</v>
      </c>
      <c r="H101" s="35">
        <f t="shared" si="5"/>
        <v>7200</v>
      </c>
      <c r="I101" s="10"/>
      <c r="J101" s="82"/>
    </row>
    <row r="102" spans="1:10" ht="15.95" customHeight="1" x14ac:dyDescent="0.2">
      <c r="A102" s="40" t="s">
        <v>341</v>
      </c>
      <c r="B102" s="46" t="s">
        <v>335</v>
      </c>
      <c r="C102" s="41" t="s">
        <v>4</v>
      </c>
      <c r="D102" s="42">
        <v>80</v>
      </c>
      <c r="E102" s="42"/>
      <c r="F102" s="42"/>
      <c r="G102" s="43">
        <v>120</v>
      </c>
      <c r="H102" s="35">
        <f t="shared" si="5"/>
        <v>9600</v>
      </c>
      <c r="J102" s="82"/>
    </row>
    <row r="103" spans="1:10" ht="15.95" customHeight="1" x14ac:dyDescent="0.2">
      <c r="A103" s="40" t="s">
        <v>204</v>
      </c>
      <c r="B103" s="46" t="s">
        <v>370</v>
      </c>
      <c r="C103" s="41" t="s">
        <v>4</v>
      </c>
      <c r="D103" s="42">
        <v>1700</v>
      </c>
      <c r="E103" s="42"/>
      <c r="F103" s="42"/>
      <c r="G103" s="43">
        <v>140</v>
      </c>
      <c r="H103" s="35">
        <f t="shared" si="5"/>
        <v>238000</v>
      </c>
      <c r="J103" s="82"/>
    </row>
    <row r="104" spans="1:10" ht="15.95" customHeight="1" x14ac:dyDescent="0.2">
      <c r="A104" s="40" t="s">
        <v>205</v>
      </c>
      <c r="B104" s="46" t="s">
        <v>373</v>
      </c>
      <c r="C104" s="41" t="s">
        <v>4</v>
      </c>
      <c r="D104" s="42">
        <v>780</v>
      </c>
      <c r="E104" s="42"/>
      <c r="F104" s="42"/>
      <c r="G104" s="43">
        <v>125</v>
      </c>
      <c r="H104" s="35">
        <f t="shared" si="5"/>
        <v>97500</v>
      </c>
      <c r="J104" s="82"/>
    </row>
    <row r="105" spans="1:10" ht="15.95" customHeight="1" x14ac:dyDescent="0.2">
      <c r="A105" s="40" t="s">
        <v>206</v>
      </c>
      <c r="B105" s="46" t="s">
        <v>374</v>
      </c>
      <c r="C105" s="41" t="s">
        <v>4</v>
      </c>
      <c r="D105" s="42">
        <v>360</v>
      </c>
      <c r="E105" s="42"/>
      <c r="F105" s="42"/>
      <c r="G105" s="43">
        <v>120</v>
      </c>
      <c r="H105" s="35">
        <f t="shared" si="5"/>
        <v>43200</v>
      </c>
      <c r="J105" s="82"/>
    </row>
    <row r="106" spans="1:10" ht="15.95" customHeight="1" x14ac:dyDescent="0.2">
      <c r="A106" s="40" t="s">
        <v>372</v>
      </c>
      <c r="B106" s="46" t="s">
        <v>441</v>
      </c>
      <c r="C106" s="41" t="s">
        <v>4</v>
      </c>
      <c r="D106" s="42">
        <v>140</v>
      </c>
      <c r="E106" s="42"/>
      <c r="F106" s="42"/>
      <c r="G106" s="43">
        <v>140</v>
      </c>
      <c r="H106" s="35">
        <f t="shared" si="5"/>
        <v>19600</v>
      </c>
      <c r="J106" s="82"/>
    </row>
    <row r="107" spans="1:10" ht="18" customHeight="1" x14ac:dyDescent="0.2">
      <c r="A107" s="250" t="s">
        <v>106</v>
      </c>
      <c r="B107" s="251"/>
      <c r="C107" s="251"/>
      <c r="D107" s="251"/>
      <c r="E107" s="251"/>
      <c r="F107" s="251"/>
      <c r="G107" s="252"/>
      <c r="H107" s="38">
        <f>SUM(H92:H106)</f>
        <v>834940</v>
      </c>
      <c r="J107" s="82"/>
    </row>
    <row r="108" spans="1:10" ht="18" customHeight="1" x14ac:dyDescent="0.2">
      <c r="A108" s="24"/>
      <c r="B108" s="25" t="s">
        <v>292</v>
      </c>
      <c r="C108" s="26"/>
      <c r="D108" s="27"/>
      <c r="E108" s="27"/>
      <c r="F108" s="27"/>
      <c r="G108" s="28"/>
      <c r="H108" s="35"/>
      <c r="J108" s="82"/>
    </row>
    <row r="109" spans="1:10" ht="18" customHeight="1" x14ac:dyDescent="0.2">
      <c r="A109" s="30"/>
      <c r="B109" s="31" t="s">
        <v>10</v>
      </c>
      <c r="C109" s="32"/>
      <c r="D109" s="33"/>
      <c r="E109" s="33"/>
      <c r="F109" s="33"/>
      <c r="G109" s="34"/>
      <c r="H109" s="35"/>
      <c r="J109" s="82"/>
    </row>
    <row r="110" spans="1:10" ht="18" customHeight="1" x14ac:dyDescent="0.2">
      <c r="A110" s="30" t="s">
        <v>207</v>
      </c>
      <c r="B110" s="39" t="s">
        <v>442</v>
      </c>
      <c r="C110" s="32" t="s">
        <v>4</v>
      </c>
      <c r="D110" s="37">
        <v>22</v>
      </c>
      <c r="E110" s="37"/>
      <c r="F110" s="37"/>
      <c r="G110" s="34">
        <v>750</v>
      </c>
      <c r="H110" s="35">
        <f>+G110*D110</f>
        <v>16500</v>
      </c>
      <c r="J110" s="82"/>
    </row>
    <row r="111" spans="1:10" ht="18" customHeight="1" x14ac:dyDescent="0.2">
      <c r="A111" s="30" t="s">
        <v>342</v>
      </c>
      <c r="B111" s="39" t="s">
        <v>443</v>
      </c>
      <c r="C111" s="32" t="s">
        <v>4</v>
      </c>
      <c r="D111" s="37">
        <v>80</v>
      </c>
      <c r="E111" s="37"/>
      <c r="F111" s="37"/>
      <c r="G111" s="34">
        <v>700</v>
      </c>
      <c r="H111" s="35">
        <f>+G111*D111</f>
        <v>56000</v>
      </c>
      <c r="J111" s="82"/>
    </row>
    <row r="112" spans="1:10" ht="18" customHeight="1" x14ac:dyDescent="0.2">
      <c r="A112" s="30" t="s">
        <v>208</v>
      </c>
      <c r="B112" s="39" t="s">
        <v>444</v>
      </c>
      <c r="C112" s="32" t="s">
        <v>4</v>
      </c>
      <c r="D112" s="37">
        <v>102</v>
      </c>
      <c r="E112" s="37"/>
      <c r="F112" s="37"/>
      <c r="G112" s="34">
        <v>650</v>
      </c>
      <c r="H112" s="35">
        <f>+G112*D112</f>
        <v>66300</v>
      </c>
      <c r="J112" s="82"/>
    </row>
    <row r="113" spans="1:10" ht="18" customHeight="1" x14ac:dyDescent="0.2">
      <c r="A113" s="30" t="s">
        <v>406</v>
      </c>
      <c r="B113" s="39" t="s">
        <v>92</v>
      </c>
      <c r="C113" s="41" t="s">
        <v>4</v>
      </c>
      <c r="D113" s="37">
        <v>80</v>
      </c>
      <c r="E113" s="37"/>
      <c r="F113" s="37"/>
      <c r="G113" s="34">
        <v>650</v>
      </c>
      <c r="H113" s="35">
        <f>+G113*D113</f>
        <v>52000</v>
      </c>
      <c r="J113" s="82"/>
    </row>
    <row r="114" spans="1:10" ht="18" customHeight="1" x14ac:dyDescent="0.2">
      <c r="A114" s="30" t="s">
        <v>375</v>
      </c>
      <c r="B114" s="46" t="s">
        <v>274</v>
      </c>
      <c r="C114" s="41" t="s">
        <v>4</v>
      </c>
      <c r="D114" s="37">
        <v>12</v>
      </c>
      <c r="E114" s="37"/>
      <c r="F114" s="37"/>
      <c r="G114" s="34">
        <v>500</v>
      </c>
      <c r="H114" s="35">
        <f>+G114*D114</f>
        <v>6000</v>
      </c>
      <c r="J114" s="82"/>
    </row>
    <row r="115" spans="1:10" ht="18" customHeight="1" x14ac:dyDescent="0.2">
      <c r="A115" s="250" t="s">
        <v>108</v>
      </c>
      <c r="B115" s="251"/>
      <c r="C115" s="251"/>
      <c r="D115" s="251"/>
      <c r="E115" s="251"/>
      <c r="F115" s="251"/>
      <c r="G115" s="252"/>
      <c r="H115" s="38">
        <f>SUM(H108:H114)</f>
        <v>196800</v>
      </c>
      <c r="J115" s="82"/>
    </row>
    <row r="116" spans="1:10" ht="18" customHeight="1" x14ac:dyDescent="0.2">
      <c r="A116" s="24"/>
      <c r="B116" s="25" t="s">
        <v>40</v>
      </c>
      <c r="C116" s="26"/>
      <c r="D116" s="27"/>
      <c r="E116" s="27"/>
      <c r="F116" s="27"/>
      <c r="G116" s="28"/>
      <c r="H116" s="35"/>
      <c r="J116" s="82"/>
    </row>
    <row r="117" spans="1:10" ht="18" customHeight="1" x14ac:dyDescent="0.2">
      <c r="A117" s="56" t="s">
        <v>209</v>
      </c>
      <c r="B117" s="52" t="s">
        <v>329</v>
      </c>
      <c r="C117" s="41" t="s">
        <v>4</v>
      </c>
      <c r="D117" s="42">
        <v>222</v>
      </c>
      <c r="E117" s="42"/>
      <c r="F117" s="42"/>
      <c r="G117" s="43">
        <v>1000</v>
      </c>
      <c r="H117" s="35">
        <f>+G117*D117</f>
        <v>222000</v>
      </c>
      <c r="J117" s="82"/>
    </row>
    <row r="118" spans="1:10" ht="18" customHeight="1" x14ac:dyDescent="0.2">
      <c r="A118" s="56" t="s">
        <v>343</v>
      </c>
      <c r="B118" s="52" t="s">
        <v>354</v>
      </c>
      <c r="C118" s="41" t="s">
        <v>4</v>
      </c>
      <c r="D118" s="42">
        <v>12</v>
      </c>
      <c r="E118" s="42"/>
      <c r="F118" s="42"/>
      <c r="G118" s="43">
        <v>1050</v>
      </c>
      <c r="H118" s="35">
        <f>+G118*D118</f>
        <v>12600</v>
      </c>
      <c r="J118" s="82"/>
    </row>
    <row r="119" spans="1:10" ht="18" customHeight="1" x14ac:dyDescent="0.2">
      <c r="A119" s="253" t="s">
        <v>109</v>
      </c>
      <c r="B119" s="254"/>
      <c r="C119" s="254"/>
      <c r="D119" s="254"/>
      <c r="E119" s="254"/>
      <c r="F119" s="254"/>
      <c r="G119" s="255"/>
      <c r="H119" s="38">
        <f>SUM(H116:H118)</f>
        <v>234600</v>
      </c>
      <c r="J119" s="82"/>
    </row>
    <row r="120" spans="1:10" ht="18" customHeight="1" x14ac:dyDescent="0.2">
      <c r="A120" s="24"/>
      <c r="B120" s="25" t="s">
        <v>41</v>
      </c>
      <c r="C120" s="26"/>
      <c r="D120" s="27"/>
      <c r="E120" s="27"/>
      <c r="F120" s="27"/>
      <c r="G120" s="28"/>
      <c r="H120" s="35"/>
      <c r="J120" s="82"/>
    </row>
    <row r="121" spans="1:10" ht="18" customHeight="1" x14ac:dyDescent="0.2">
      <c r="A121" s="57" t="s">
        <v>210</v>
      </c>
      <c r="B121" s="46" t="s">
        <v>121</v>
      </c>
      <c r="C121" s="41" t="s">
        <v>4</v>
      </c>
      <c r="D121" s="42">
        <v>46</v>
      </c>
      <c r="E121" s="42"/>
      <c r="F121" s="42"/>
      <c r="G121" s="43">
        <v>500</v>
      </c>
      <c r="H121" s="35">
        <f>+G121*D121</f>
        <v>23000</v>
      </c>
      <c r="J121" s="82"/>
    </row>
    <row r="122" spans="1:10" ht="18" customHeight="1" x14ac:dyDescent="0.2">
      <c r="A122" s="57" t="s">
        <v>211</v>
      </c>
      <c r="B122" s="46" t="s">
        <v>122</v>
      </c>
      <c r="C122" s="41" t="s">
        <v>4</v>
      </c>
      <c r="D122" s="42">
        <v>55</v>
      </c>
      <c r="E122" s="42"/>
      <c r="F122" s="42"/>
      <c r="G122" s="43">
        <v>550</v>
      </c>
      <c r="H122" s="35">
        <f>+G122*D122</f>
        <v>30250</v>
      </c>
      <c r="J122" s="82"/>
    </row>
    <row r="123" spans="1:10" ht="18" customHeight="1" x14ac:dyDescent="0.2">
      <c r="A123" s="57" t="s">
        <v>212</v>
      </c>
      <c r="B123" s="46" t="s">
        <v>93</v>
      </c>
      <c r="C123" s="41" t="s">
        <v>4</v>
      </c>
      <c r="D123" s="42">
        <v>234</v>
      </c>
      <c r="E123" s="42"/>
      <c r="F123" s="42"/>
      <c r="G123" s="43">
        <v>400</v>
      </c>
      <c r="H123" s="35">
        <f>+G123*D123</f>
        <v>93600</v>
      </c>
      <c r="J123" s="82"/>
    </row>
    <row r="124" spans="1:10" ht="18" customHeight="1" x14ac:dyDescent="0.2">
      <c r="A124" s="57" t="s">
        <v>344</v>
      </c>
      <c r="B124" s="46" t="s">
        <v>355</v>
      </c>
      <c r="C124" s="41" t="s">
        <v>1</v>
      </c>
      <c r="D124" s="42">
        <v>128</v>
      </c>
      <c r="E124" s="42"/>
      <c r="F124" s="42"/>
      <c r="G124" s="43">
        <v>250</v>
      </c>
      <c r="H124" s="35">
        <f>+G124*D124</f>
        <v>32000</v>
      </c>
      <c r="J124" s="82"/>
    </row>
    <row r="125" spans="1:10" ht="18" customHeight="1" x14ac:dyDescent="0.2">
      <c r="A125" s="250" t="s">
        <v>110</v>
      </c>
      <c r="B125" s="251"/>
      <c r="C125" s="251"/>
      <c r="D125" s="251"/>
      <c r="E125" s="251"/>
      <c r="F125" s="251"/>
      <c r="G125" s="252"/>
      <c r="H125" s="38">
        <f>SUM(H120:H124)</f>
        <v>178850</v>
      </c>
      <c r="J125" s="82"/>
    </row>
    <row r="126" spans="1:10" ht="18" customHeight="1" x14ac:dyDescent="0.2">
      <c r="A126" s="24"/>
      <c r="B126" s="25" t="s">
        <v>42</v>
      </c>
      <c r="C126" s="26"/>
      <c r="D126" s="27"/>
      <c r="E126" s="27"/>
      <c r="F126" s="27"/>
      <c r="G126" s="28"/>
      <c r="H126" s="35"/>
      <c r="J126" s="82"/>
    </row>
    <row r="127" spans="1:10" ht="18" customHeight="1" x14ac:dyDescent="0.2">
      <c r="A127" s="56" t="s">
        <v>213</v>
      </c>
      <c r="B127" s="46" t="s">
        <v>275</v>
      </c>
      <c r="C127" s="41" t="s">
        <v>1</v>
      </c>
      <c r="D127" s="42">
        <v>120</v>
      </c>
      <c r="E127" s="42"/>
      <c r="F127" s="42"/>
      <c r="G127" s="43">
        <v>200</v>
      </c>
      <c r="H127" s="35">
        <f>+G127*D127</f>
        <v>24000</v>
      </c>
      <c r="J127" s="82"/>
    </row>
    <row r="128" spans="1:10" ht="18" customHeight="1" x14ac:dyDescent="0.2">
      <c r="A128" s="56" t="s">
        <v>214</v>
      </c>
      <c r="B128" s="46" t="s">
        <v>330</v>
      </c>
      <c r="C128" s="41" t="s">
        <v>1</v>
      </c>
      <c r="D128" s="42">
        <v>44</v>
      </c>
      <c r="E128" s="42"/>
      <c r="F128" s="42"/>
      <c r="G128" s="43">
        <v>600</v>
      </c>
      <c r="H128" s="35">
        <f>+G128*D128</f>
        <v>26400</v>
      </c>
      <c r="J128" s="82"/>
    </row>
    <row r="129" spans="1:10" ht="18" customHeight="1" x14ac:dyDescent="0.2">
      <c r="A129" s="56" t="s">
        <v>215</v>
      </c>
      <c r="B129" s="46" t="s">
        <v>11</v>
      </c>
      <c r="C129" s="41" t="s">
        <v>76</v>
      </c>
      <c r="D129" s="42">
        <v>1</v>
      </c>
      <c r="E129" s="42"/>
      <c r="F129" s="42"/>
      <c r="G129" s="43">
        <v>1200</v>
      </c>
      <c r="H129" s="35">
        <f>+G129*D129</f>
        <v>1200</v>
      </c>
      <c r="J129" s="82"/>
    </row>
    <row r="130" spans="1:10" ht="18" customHeight="1" x14ac:dyDescent="0.2">
      <c r="A130" s="56" t="s">
        <v>216</v>
      </c>
      <c r="B130" s="46" t="s">
        <v>445</v>
      </c>
      <c r="C130" s="41" t="s">
        <v>76</v>
      </c>
      <c r="D130" s="42">
        <v>1</v>
      </c>
      <c r="E130" s="42"/>
      <c r="F130" s="42"/>
      <c r="G130" s="43">
        <v>3000</v>
      </c>
      <c r="H130" s="35">
        <f>+G130*D130</f>
        <v>3000</v>
      </c>
      <c r="J130" s="82"/>
    </row>
    <row r="131" spans="1:10" ht="18" customHeight="1" x14ac:dyDescent="0.2">
      <c r="A131" s="56" t="s">
        <v>217</v>
      </c>
      <c r="B131" s="46" t="s">
        <v>407</v>
      </c>
      <c r="C131" s="41" t="s">
        <v>76</v>
      </c>
      <c r="D131" s="42">
        <v>40</v>
      </c>
      <c r="E131" s="42"/>
      <c r="F131" s="42"/>
      <c r="G131" s="43">
        <v>80</v>
      </c>
      <c r="H131" s="35">
        <f>+G131*D131</f>
        <v>3200</v>
      </c>
      <c r="J131" s="82"/>
    </row>
    <row r="132" spans="1:10" ht="18" customHeight="1" x14ac:dyDescent="0.2">
      <c r="A132" s="250" t="s">
        <v>104</v>
      </c>
      <c r="B132" s="251"/>
      <c r="C132" s="251"/>
      <c r="D132" s="251"/>
      <c r="E132" s="251"/>
      <c r="F132" s="251"/>
      <c r="G132" s="252"/>
      <c r="H132" s="38">
        <f>SUM(H126:H131)</f>
        <v>57800</v>
      </c>
      <c r="I132" s="10"/>
      <c r="J132" s="82"/>
    </row>
    <row r="133" spans="1:10" ht="18" customHeight="1" x14ac:dyDescent="0.2">
      <c r="A133" s="250" t="s">
        <v>111</v>
      </c>
      <c r="B133" s="251"/>
      <c r="C133" s="251"/>
      <c r="D133" s="251"/>
      <c r="E133" s="251"/>
      <c r="F133" s="251"/>
      <c r="G133" s="252"/>
      <c r="H133" s="38">
        <f>H132+H125+H119+H115</f>
        <v>668050</v>
      </c>
      <c r="J133" s="82"/>
    </row>
    <row r="134" spans="1:10" ht="18" customHeight="1" x14ac:dyDescent="0.2">
      <c r="A134" s="24"/>
      <c r="B134" s="25" t="s">
        <v>218</v>
      </c>
      <c r="C134" s="26"/>
      <c r="D134" s="27"/>
      <c r="E134" s="27"/>
      <c r="F134" s="27"/>
      <c r="G134" s="28"/>
      <c r="H134" s="35"/>
      <c r="J134" s="82"/>
    </row>
    <row r="135" spans="1:10" ht="18" customHeight="1" x14ac:dyDescent="0.2">
      <c r="A135" s="30"/>
      <c r="B135" s="31" t="s">
        <v>219</v>
      </c>
      <c r="C135" s="32"/>
      <c r="D135" s="33"/>
      <c r="E135" s="33"/>
      <c r="F135" s="33"/>
      <c r="G135" s="34"/>
      <c r="H135" s="35"/>
      <c r="J135" s="82"/>
    </row>
    <row r="136" spans="1:10" ht="18" customHeight="1" x14ac:dyDescent="0.2">
      <c r="A136" s="56" t="s">
        <v>220</v>
      </c>
      <c r="B136" s="55" t="s">
        <v>299</v>
      </c>
      <c r="C136" s="32" t="s">
        <v>76</v>
      </c>
      <c r="D136" s="37">
        <v>1</v>
      </c>
      <c r="E136" s="37"/>
      <c r="F136" s="37"/>
      <c r="G136" s="34">
        <v>30000</v>
      </c>
      <c r="H136" s="35">
        <f t="shared" ref="H136:H172" si="6">+G136*D136</f>
        <v>30000</v>
      </c>
      <c r="I136" s="34"/>
      <c r="J136" s="82"/>
    </row>
    <row r="137" spans="1:10" ht="18" customHeight="1" x14ac:dyDescent="0.2">
      <c r="A137" s="56" t="s">
        <v>221</v>
      </c>
      <c r="B137" s="39" t="s">
        <v>276</v>
      </c>
      <c r="C137" s="32" t="s">
        <v>76</v>
      </c>
      <c r="D137" s="37">
        <v>3</v>
      </c>
      <c r="E137" s="37"/>
      <c r="F137" s="37"/>
      <c r="G137" s="34">
        <v>1000</v>
      </c>
      <c r="H137" s="35">
        <f t="shared" si="6"/>
        <v>3000</v>
      </c>
      <c r="I137" s="34"/>
      <c r="J137" s="82"/>
    </row>
    <row r="138" spans="1:10" ht="18" customHeight="1" x14ac:dyDescent="0.2">
      <c r="A138" s="56" t="s">
        <v>222</v>
      </c>
      <c r="B138" s="39" t="s">
        <v>315</v>
      </c>
      <c r="C138" s="32" t="s">
        <v>76</v>
      </c>
      <c r="D138" s="37">
        <v>1</v>
      </c>
      <c r="E138" s="37"/>
      <c r="F138" s="37"/>
      <c r="G138" s="34">
        <v>10000</v>
      </c>
      <c r="H138" s="35">
        <f t="shared" si="6"/>
        <v>10000</v>
      </c>
      <c r="I138" s="34"/>
      <c r="J138" s="82"/>
    </row>
    <row r="139" spans="1:10" ht="18" customHeight="1" x14ac:dyDescent="0.2">
      <c r="A139" s="56" t="s">
        <v>223</v>
      </c>
      <c r="B139" s="39" t="s">
        <v>277</v>
      </c>
      <c r="C139" s="32" t="s">
        <v>76</v>
      </c>
      <c r="D139" s="37">
        <v>7</v>
      </c>
      <c r="E139" s="37"/>
      <c r="F139" s="37"/>
      <c r="G139" s="34">
        <v>350</v>
      </c>
      <c r="H139" s="35">
        <f t="shared" si="6"/>
        <v>2450</v>
      </c>
      <c r="I139" s="34"/>
      <c r="J139" s="82"/>
    </row>
    <row r="140" spans="1:10" ht="18" customHeight="1" x14ac:dyDescent="0.2">
      <c r="A140" s="56" t="s">
        <v>224</v>
      </c>
      <c r="B140" s="48" t="s">
        <v>123</v>
      </c>
      <c r="C140" s="32" t="s">
        <v>76</v>
      </c>
      <c r="D140" s="37">
        <v>27</v>
      </c>
      <c r="E140" s="37"/>
      <c r="F140" s="37"/>
      <c r="G140" s="34">
        <v>1200</v>
      </c>
      <c r="H140" s="35">
        <f t="shared" si="6"/>
        <v>32400</v>
      </c>
      <c r="I140" s="34"/>
      <c r="J140" s="82"/>
    </row>
    <row r="141" spans="1:10" ht="18" customHeight="1" x14ac:dyDescent="0.2">
      <c r="A141" s="56" t="s">
        <v>225</v>
      </c>
      <c r="B141" s="48" t="s">
        <v>293</v>
      </c>
      <c r="C141" s="32"/>
      <c r="D141" s="34"/>
      <c r="E141" s="34"/>
      <c r="F141" s="34"/>
      <c r="G141" s="34"/>
      <c r="H141" s="35"/>
      <c r="I141" s="34"/>
      <c r="J141" s="82"/>
    </row>
    <row r="142" spans="1:10" ht="18" customHeight="1" x14ac:dyDescent="0.2">
      <c r="A142" s="30" t="s">
        <v>226</v>
      </c>
      <c r="B142" s="39" t="s">
        <v>136</v>
      </c>
      <c r="C142" s="32" t="s">
        <v>1</v>
      </c>
      <c r="D142" s="37">
        <v>80</v>
      </c>
      <c r="E142" s="37"/>
      <c r="F142" s="37"/>
      <c r="G142" s="34">
        <v>150</v>
      </c>
      <c r="H142" s="35">
        <f t="shared" si="6"/>
        <v>12000</v>
      </c>
      <c r="I142" s="34"/>
      <c r="J142" s="82"/>
    </row>
    <row r="143" spans="1:10" ht="18" customHeight="1" x14ac:dyDescent="0.2">
      <c r="A143" s="30" t="s">
        <v>228</v>
      </c>
      <c r="B143" s="39" t="s">
        <v>137</v>
      </c>
      <c r="C143" s="32" t="s">
        <v>1</v>
      </c>
      <c r="D143" s="37">
        <v>330</v>
      </c>
      <c r="E143" s="37"/>
      <c r="F143" s="37"/>
      <c r="G143" s="34">
        <v>100</v>
      </c>
      <c r="H143" s="35">
        <f t="shared" si="6"/>
        <v>33000</v>
      </c>
      <c r="I143" s="34"/>
      <c r="J143" s="82"/>
    </row>
    <row r="144" spans="1:10" s="3" customFormat="1" ht="18" customHeight="1" x14ac:dyDescent="0.2">
      <c r="A144" s="30" t="s">
        <v>227</v>
      </c>
      <c r="B144" s="39" t="s">
        <v>138</v>
      </c>
      <c r="C144" s="32" t="s">
        <v>1</v>
      </c>
      <c r="D144" s="37">
        <v>220</v>
      </c>
      <c r="E144" s="37"/>
      <c r="F144" s="37"/>
      <c r="G144" s="34">
        <v>80</v>
      </c>
      <c r="H144" s="35">
        <f t="shared" si="6"/>
        <v>17600</v>
      </c>
      <c r="I144" s="34"/>
      <c r="J144" s="82"/>
    </row>
    <row r="145" spans="1:10" s="3" customFormat="1" ht="18" customHeight="1" x14ac:dyDescent="0.2">
      <c r="A145" s="30" t="s">
        <v>229</v>
      </c>
      <c r="B145" s="39" t="s">
        <v>139</v>
      </c>
      <c r="C145" s="32" t="s">
        <v>1</v>
      </c>
      <c r="D145" s="37">
        <v>630</v>
      </c>
      <c r="E145" s="37"/>
      <c r="F145" s="37"/>
      <c r="G145" s="34">
        <v>60</v>
      </c>
      <c r="H145" s="35">
        <f t="shared" si="6"/>
        <v>37800</v>
      </c>
      <c r="I145" s="34"/>
      <c r="J145" s="82"/>
    </row>
    <row r="146" spans="1:10" ht="18" customHeight="1" x14ac:dyDescent="0.2">
      <c r="A146" s="56" t="s">
        <v>230</v>
      </c>
      <c r="B146" s="39" t="s">
        <v>278</v>
      </c>
      <c r="C146" s="32" t="s">
        <v>76</v>
      </c>
      <c r="D146" s="37">
        <v>9</v>
      </c>
      <c r="E146" s="37"/>
      <c r="F146" s="37"/>
      <c r="G146" s="34">
        <v>1500</v>
      </c>
      <c r="H146" s="35">
        <f t="shared" si="6"/>
        <v>13500</v>
      </c>
      <c r="I146" s="34"/>
      <c r="J146" s="82"/>
    </row>
    <row r="147" spans="1:10" ht="18" customHeight="1" x14ac:dyDescent="0.2">
      <c r="A147" s="56" t="s">
        <v>231</v>
      </c>
      <c r="B147" s="39" t="s">
        <v>68</v>
      </c>
      <c r="C147" s="32" t="s">
        <v>76</v>
      </c>
      <c r="D147" s="37">
        <v>7</v>
      </c>
      <c r="E147" s="37"/>
      <c r="F147" s="37"/>
      <c r="G147" s="34">
        <v>800</v>
      </c>
      <c r="H147" s="35">
        <f t="shared" si="6"/>
        <v>5600</v>
      </c>
      <c r="I147" s="34"/>
      <c r="J147" s="82"/>
    </row>
    <row r="148" spans="1:10" ht="18" customHeight="1" x14ac:dyDescent="0.2">
      <c r="A148" s="56">
        <v>150</v>
      </c>
      <c r="B148" s="39" t="s">
        <v>12</v>
      </c>
      <c r="C148" s="41" t="s">
        <v>76</v>
      </c>
      <c r="D148" s="37">
        <v>3</v>
      </c>
      <c r="E148" s="37"/>
      <c r="F148" s="37"/>
      <c r="G148" s="34">
        <v>350</v>
      </c>
      <c r="H148" s="35">
        <f t="shared" si="6"/>
        <v>1050</v>
      </c>
      <c r="I148" s="34"/>
      <c r="J148" s="82"/>
    </row>
    <row r="149" spans="1:10" ht="15.95" customHeight="1" x14ac:dyDescent="0.2">
      <c r="A149" s="56" t="s">
        <v>232</v>
      </c>
      <c r="B149" s="46" t="s">
        <v>90</v>
      </c>
      <c r="C149" s="41" t="s">
        <v>76</v>
      </c>
      <c r="D149" s="42">
        <v>14</v>
      </c>
      <c r="E149" s="42"/>
      <c r="F149" s="42"/>
      <c r="G149" s="43">
        <v>250</v>
      </c>
      <c r="H149" s="35">
        <f t="shared" si="6"/>
        <v>3500</v>
      </c>
      <c r="I149" s="43"/>
      <c r="J149" s="82"/>
    </row>
    <row r="150" spans="1:10" ht="18" customHeight="1" x14ac:dyDescent="0.2">
      <c r="A150" s="30"/>
      <c r="B150" s="31" t="s">
        <v>233</v>
      </c>
      <c r="C150" s="32"/>
      <c r="D150" s="33"/>
      <c r="E150" s="33"/>
      <c r="F150" s="33"/>
      <c r="G150" s="34"/>
      <c r="H150" s="35"/>
      <c r="I150" s="34"/>
      <c r="J150" s="82"/>
    </row>
    <row r="151" spans="1:10" ht="18" customHeight="1" x14ac:dyDescent="0.2">
      <c r="A151" s="56" t="s">
        <v>234</v>
      </c>
      <c r="B151" s="39" t="s">
        <v>124</v>
      </c>
      <c r="C151" s="32" t="s">
        <v>76</v>
      </c>
      <c r="D151" s="37">
        <v>58</v>
      </c>
      <c r="E151" s="37"/>
      <c r="F151" s="37"/>
      <c r="G151" s="34">
        <v>100</v>
      </c>
      <c r="H151" s="35">
        <f t="shared" si="6"/>
        <v>5800</v>
      </c>
      <c r="I151" s="34"/>
      <c r="J151" s="82"/>
    </row>
    <row r="152" spans="1:10" ht="18" customHeight="1" x14ac:dyDescent="0.2">
      <c r="A152" s="56" t="s">
        <v>235</v>
      </c>
      <c r="B152" s="39" t="s">
        <v>316</v>
      </c>
      <c r="C152" s="32" t="s">
        <v>76</v>
      </c>
      <c r="D152" s="37">
        <v>33</v>
      </c>
      <c r="E152" s="37"/>
      <c r="F152" s="37"/>
      <c r="G152" s="34">
        <v>110</v>
      </c>
      <c r="H152" s="35">
        <f t="shared" si="6"/>
        <v>3630</v>
      </c>
      <c r="I152" s="34"/>
      <c r="J152" s="82"/>
    </row>
    <row r="153" spans="1:10" ht="18" customHeight="1" x14ac:dyDescent="0.2">
      <c r="A153" s="56" t="s">
        <v>236</v>
      </c>
      <c r="B153" s="39" t="s">
        <v>317</v>
      </c>
      <c r="C153" s="32" t="s">
        <v>76</v>
      </c>
      <c r="D153" s="37">
        <v>11</v>
      </c>
      <c r="E153" s="37"/>
      <c r="F153" s="37"/>
      <c r="G153" s="34">
        <v>110</v>
      </c>
      <c r="H153" s="35">
        <f t="shared" si="6"/>
        <v>1210</v>
      </c>
      <c r="I153" s="34"/>
      <c r="J153" s="82"/>
    </row>
    <row r="154" spans="1:10" ht="18" customHeight="1" x14ac:dyDescent="0.2">
      <c r="A154" s="56" t="s">
        <v>237</v>
      </c>
      <c r="B154" s="39" t="s">
        <v>318</v>
      </c>
      <c r="C154" s="32" t="s">
        <v>76</v>
      </c>
      <c r="D154" s="37">
        <v>60</v>
      </c>
      <c r="E154" s="37"/>
      <c r="F154" s="37"/>
      <c r="G154" s="34">
        <v>100</v>
      </c>
      <c r="H154" s="35">
        <f t="shared" si="6"/>
        <v>6000</v>
      </c>
      <c r="I154" s="34"/>
      <c r="J154" s="82"/>
    </row>
    <row r="155" spans="1:10" ht="18" customHeight="1" x14ac:dyDescent="0.2">
      <c r="A155" s="56" t="s">
        <v>238</v>
      </c>
      <c r="B155" s="39" t="s">
        <v>294</v>
      </c>
      <c r="C155" s="32" t="s">
        <v>76</v>
      </c>
      <c r="D155" s="37">
        <v>116</v>
      </c>
      <c r="E155" s="37"/>
      <c r="F155" s="37"/>
      <c r="G155" s="34">
        <v>60</v>
      </c>
      <c r="H155" s="35">
        <f t="shared" si="6"/>
        <v>6960</v>
      </c>
      <c r="I155" s="34"/>
      <c r="J155" s="82"/>
    </row>
    <row r="156" spans="1:10" ht="18" customHeight="1" x14ac:dyDescent="0.2">
      <c r="A156" s="30"/>
      <c r="B156" s="31" t="s">
        <v>239</v>
      </c>
      <c r="C156" s="32"/>
      <c r="D156" s="58"/>
      <c r="E156" s="58"/>
      <c r="F156" s="58"/>
      <c r="G156" s="34"/>
      <c r="H156" s="35"/>
      <c r="I156" s="34"/>
      <c r="J156" s="82"/>
    </row>
    <row r="157" spans="1:10" ht="18" customHeight="1" x14ac:dyDescent="0.2">
      <c r="A157" s="56" t="s">
        <v>240</v>
      </c>
      <c r="B157" s="39" t="s">
        <v>280</v>
      </c>
      <c r="C157" s="32" t="s">
        <v>76</v>
      </c>
      <c r="D157" s="37">
        <v>142</v>
      </c>
      <c r="E157" s="37"/>
      <c r="F157" s="37"/>
      <c r="G157" s="34">
        <v>90</v>
      </c>
      <c r="H157" s="35">
        <f t="shared" si="6"/>
        <v>12780</v>
      </c>
      <c r="I157" s="34"/>
      <c r="J157" s="82"/>
    </row>
    <row r="158" spans="1:10" ht="18" customHeight="1" x14ac:dyDescent="0.2">
      <c r="A158" s="56" t="s">
        <v>241</v>
      </c>
      <c r="B158" s="39" t="s">
        <v>279</v>
      </c>
      <c r="C158" s="32" t="s">
        <v>76</v>
      </c>
      <c r="D158" s="37">
        <v>6</v>
      </c>
      <c r="E158" s="37"/>
      <c r="F158" s="37"/>
      <c r="G158" s="34">
        <v>110</v>
      </c>
      <c r="H158" s="35">
        <f t="shared" si="6"/>
        <v>660</v>
      </c>
      <c r="I158" s="34"/>
      <c r="J158" s="82"/>
    </row>
    <row r="159" spans="1:10" ht="18" customHeight="1" x14ac:dyDescent="0.2">
      <c r="A159" s="56" t="s">
        <v>242</v>
      </c>
      <c r="B159" s="39" t="s">
        <v>281</v>
      </c>
      <c r="C159" s="32" t="s">
        <v>76</v>
      </c>
      <c r="D159" s="37">
        <v>15</v>
      </c>
      <c r="E159" s="37"/>
      <c r="F159" s="37"/>
      <c r="G159" s="34">
        <v>110</v>
      </c>
      <c r="H159" s="35">
        <f t="shared" si="6"/>
        <v>1650</v>
      </c>
      <c r="I159" s="34"/>
      <c r="J159" s="82"/>
    </row>
    <row r="160" spans="1:10" ht="18" customHeight="1" x14ac:dyDescent="0.2">
      <c r="A160" s="56" t="s">
        <v>243</v>
      </c>
      <c r="B160" s="39" t="s">
        <v>282</v>
      </c>
      <c r="C160" s="32" t="s">
        <v>76</v>
      </c>
      <c r="D160" s="37">
        <v>6</v>
      </c>
      <c r="E160" s="37"/>
      <c r="F160" s="37"/>
      <c r="G160" s="34">
        <v>110</v>
      </c>
      <c r="H160" s="35">
        <f t="shared" si="6"/>
        <v>660</v>
      </c>
      <c r="I160" s="34"/>
      <c r="J160" s="82"/>
    </row>
    <row r="161" spans="1:10" s="83" customFormat="1" ht="18" customHeight="1" x14ac:dyDescent="0.2">
      <c r="A161" s="56" t="s">
        <v>43</v>
      </c>
      <c r="B161" s="55" t="s">
        <v>334</v>
      </c>
      <c r="C161" s="59" t="s">
        <v>76</v>
      </c>
      <c r="D161" s="37">
        <v>3</v>
      </c>
      <c r="E161" s="37"/>
      <c r="F161" s="37"/>
      <c r="G161" s="60">
        <v>2000</v>
      </c>
      <c r="H161" s="35">
        <f t="shared" si="6"/>
        <v>6000</v>
      </c>
      <c r="I161" s="60"/>
      <c r="J161" s="82"/>
    </row>
    <row r="162" spans="1:10" ht="18" customHeight="1" x14ac:dyDescent="0.2">
      <c r="A162" s="56" t="s">
        <v>345</v>
      </c>
      <c r="B162" s="39" t="s">
        <v>356</v>
      </c>
      <c r="C162" s="32" t="s">
        <v>76</v>
      </c>
      <c r="D162" s="37">
        <v>47</v>
      </c>
      <c r="E162" s="37"/>
      <c r="F162" s="37"/>
      <c r="G162" s="34">
        <v>120</v>
      </c>
      <c r="H162" s="35">
        <f t="shared" si="6"/>
        <v>5640</v>
      </c>
      <c r="I162" s="34"/>
      <c r="J162" s="82"/>
    </row>
    <row r="163" spans="1:10" ht="18" customHeight="1" x14ac:dyDescent="0.2">
      <c r="A163" s="30"/>
      <c r="B163" s="31" t="s">
        <v>244</v>
      </c>
      <c r="C163" s="32"/>
      <c r="D163" s="33"/>
      <c r="E163" s="33"/>
      <c r="F163" s="33"/>
      <c r="G163" s="34"/>
      <c r="H163" s="35"/>
      <c r="I163" s="34"/>
      <c r="J163" s="82"/>
    </row>
    <row r="164" spans="1:10" s="83" customFormat="1" ht="18" customHeight="1" x14ac:dyDescent="0.2">
      <c r="A164" s="61" t="s">
        <v>15</v>
      </c>
      <c r="B164" s="55" t="s">
        <v>332</v>
      </c>
      <c r="C164" s="59" t="s">
        <v>76</v>
      </c>
      <c r="D164" s="37">
        <v>38</v>
      </c>
      <c r="E164" s="37"/>
      <c r="F164" s="37"/>
      <c r="G164" s="60">
        <v>90</v>
      </c>
      <c r="H164" s="35">
        <f t="shared" si="6"/>
        <v>3420</v>
      </c>
      <c r="I164" s="60"/>
      <c r="J164" s="82"/>
    </row>
    <row r="165" spans="1:10" s="83" customFormat="1" ht="18" customHeight="1" x14ac:dyDescent="0.2">
      <c r="A165" s="61" t="s">
        <v>16</v>
      </c>
      <c r="B165" s="55" t="s">
        <v>302</v>
      </c>
      <c r="C165" s="59" t="s">
        <v>76</v>
      </c>
      <c r="D165" s="37">
        <v>93</v>
      </c>
      <c r="E165" s="37"/>
      <c r="F165" s="37"/>
      <c r="G165" s="60">
        <v>100</v>
      </c>
      <c r="H165" s="35">
        <f t="shared" si="6"/>
        <v>9300</v>
      </c>
      <c r="I165" s="60"/>
      <c r="J165" s="82"/>
    </row>
    <row r="166" spans="1:10" s="83" customFormat="1" ht="18" customHeight="1" x14ac:dyDescent="0.2">
      <c r="A166" s="61" t="s">
        <v>17</v>
      </c>
      <c r="B166" s="55" t="s">
        <v>127</v>
      </c>
      <c r="C166" s="59" t="s">
        <v>76</v>
      </c>
      <c r="D166" s="37">
        <v>104</v>
      </c>
      <c r="E166" s="37"/>
      <c r="F166" s="37"/>
      <c r="G166" s="60">
        <v>300</v>
      </c>
      <c r="H166" s="35">
        <f t="shared" si="6"/>
        <v>31200</v>
      </c>
      <c r="I166" s="60"/>
      <c r="J166" s="82"/>
    </row>
    <row r="167" spans="1:10" s="83" customFormat="1" ht="18" customHeight="1" x14ac:dyDescent="0.2">
      <c r="A167" s="61" t="s">
        <v>73</v>
      </c>
      <c r="B167" s="55" t="s">
        <v>303</v>
      </c>
      <c r="C167" s="59" t="s">
        <v>76</v>
      </c>
      <c r="D167" s="37">
        <v>50</v>
      </c>
      <c r="E167" s="37"/>
      <c r="F167" s="37"/>
      <c r="G167" s="60">
        <v>300</v>
      </c>
      <c r="H167" s="35">
        <f t="shared" si="6"/>
        <v>15000</v>
      </c>
      <c r="I167" s="60"/>
      <c r="J167" s="82"/>
    </row>
    <row r="168" spans="1:10" s="83" customFormat="1" ht="18" customHeight="1" x14ac:dyDescent="0.2">
      <c r="A168" s="61" t="s">
        <v>38</v>
      </c>
      <c r="B168" s="55" t="s">
        <v>357</v>
      </c>
      <c r="C168" s="59" t="s">
        <v>76</v>
      </c>
      <c r="D168" s="37">
        <v>8</v>
      </c>
      <c r="E168" s="37"/>
      <c r="F168" s="37"/>
      <c r="G168" s="60">
        <v>700</v>
      </c>
      <c r="H168" s="35">
        <f t="shared" si="6"/>
        <v>5600</v>
      </c>
      <c r="I168" s="60"/>
      <c r="J168" s="82"/>
    </row>
    <row r="169" spans="1:10" s="83" customFormat="1" ht="18" customHeight="1" x14ac:dyDescent="0.2">
      <c r="A169" s="61" t="s">
        <v>346</v>
      </c>
      <c r="B169" s="55" t="s">
        <v>283</v>
      </c>
      <c r="C169" s="59" t="s">
        <v>76</v>
      </c>
      <c r="D169" s="37">
        <v>16</v>
      </c>
      <c r="E169" s="37"/>
      <c r="F169" s="37"/>
      <c r="G169" s="60">
        <v>700</v>
      </c>
      <c r="H169" s="35">
        <f t="shared" si="6"/>
        <v>11200</v>
      </c>
      <c r="I169" s="60"/>
      <c r="J169" s="82"/>
    </row>
    <row r="170" spans="1:10" ht="18" customHeight="1" x14ac:dyDescent="0.2">
      <c r="A170" s="30"/>
      <c r="B170" s="31" t="s">
        <v>245</v>
      </c>
      <c r="C170" s="32"/>
      <c r="D170" s="33"/>
      <c r="E170" s="33"/>
      <c r="F170" s="33"/>
      <c r="G170" s="34"/>
      <c r="H170" s="35"/>
      <c r="I170" s="34"/>
      <c r="J170" s="82"/>
    </row>
    <row r="171" spans="1:10" ht="18" customHeight="1" x14ac:dyDescent="0.2">
      <c r="A171" s="56" t="s">
        <v>18</v>
      </c>
      <c r="B171" s="39" t="s">
        <v>13</v>
      </c>
      <c r="C171" s="32" t="s">
        <v>76</v>
      </c>
      <c r="D171" s="37">
        <v>2</v>
      </c>
      <c r="E171" s="37"/>
      <c r="F171" s="37"/>
      <c r="G171" s="34">
        <v>600</v>
      </c>
      <c r="H171" s="35">
        <f t="shared" si="6"/>
        <v>1200</v>
      </c>
      <c r="I171" s="34"/>
      <c r="J171" s="82"/>
    </row>
    <row r="172" spans="1:10" ht="18" customHeight="1" x14ac:dyDescent="0.2">
      <c r="A172" s="56" t="s">
        <v>19</v>
      </c>
      <c r="B172" s="39" t="s">
        <v>14</v>
      </c>
      <c r="C172" s="32" t="s">
        <v>76</v>
      </c>
      <c r="D172" s="37">
        <v>1</v>
      </c>
      <c r="E172" s="37"/>
      <c r="F172" s="37"/>
      <c r="G172" s="34">
        <v>1200</v>
      </c>
      <c r="H172" s="35">
        <f t="shared" si="6"/>
        <v>1200</v>
      </c>
      <c r="I172" s="34"/>
      <c r="J172" s="82"/>
    </row>
    <row r="173" spans="1:10" s="5" customFormat="1" ht="17.100000000000001" customHeight="1" x14ac:dyDescent="0.2">
      <c r="A173" s="250" t="s">
        <v>112</v>
      </c>
      <c r="B173" s="251"/>
      <c r="C173" s="251"/>
      <c r="D173" s="251"/>
      <c r="E173" s="251"/>
      <c r="F173" s="251"/>
      <c r="G173" s="252"/>
      <c r="H173" s="38">
        <f>SUM(H134:H172)</f>
        <v>331010</v>
      </c>
      <c r="J173" s="82"/>
    </row>
    <row r="174" spans="1:10" ht="17.100000000000001" customHeight="1" x14ac:dyDescent="0.2">
      <c r="A174" s="24"/>
      <c r="B174" s="25" t="s">
        <v>44</v>
      </c>
      <c r="C174" s="32"/>
      <c r="D174" s="33"/>
      <c r="E174" s="33"/>
      <c r="F174" s="33"/>
      <c r="G174" s="34"/>
      <c r="H174" s="35"/>
      <c r="J174" s="82"/>
    </row>
    <row r="175" spans="1:10" ht="17.100000000000001" customHeight="1" x14ac:dyDescent="0.2">
      <c r="A175" s="56"/>
      <c r="B175" s="31" t="s">
        <v>20</v>
      </c>
      <c r="C175" s="32"/>
      <c r="D175" s="37"/>
      <c r="E175" s="37"/>
      <c r="F175" s="37"/>
      <c r="G175" s="34"/>
      <c r="H175" s="35"/>
      <c r="J175" s="82"/>
    </row>
    <row r="176" spans="1:10" ht="17.100000000000001" customHeight="1" x14ac:dyDescent="0.2">
      <c r="A176" s="56" t="s">
        <v>21</v>
      </c>
      <c r="B176" s="39" t="s">
        <v>284</v>
      </c>
      <c r="C176" s="32" t="s">
        <v>76</v>
      </c>
      <c r="D176" s="37">
        <v>1</v>
      </c>
      <c r="E176" s="37"/>
      <c r="F176" s="37"/>
      <c r="G176" s="34">
        <v>40000</v>
      </c>
      <c r="H176" s="35">
        <f t="shared" ref="H176:H230" si="7">+G176*D176</f>
        <v>40000</v>
      </c>
      <c r="J176" s="82"/>
    </row>
    <row r="177" spans="1:10" s="14" customFormat="1" x14ac:dyDescent="0.2">
      <c r="A177" s="56" t="s">
        <v>22</v>
      </c>
      <c r="B177" s="39" t="s">
        <v>378</v>
      </c>
      <c r="C177" s="32" t="s">
        <v>76</v>
      </c>
      <c r="D177" s="37">
        <v>1</v>
      </c>
      <c r="E177" s="37"/>
      <c r="F177" s="37"/>
      <c r="G177" s="34">
        <v>5100</v>
      </c>
      <c r="H177" s="35">
        <f t="shared" si="7"/>
        <v>5100</v>
      </c>
      <c r="I177" s="5"/>
      <c r="J177" s="82"/>
    </row>
    <row r="178" spans="1:10" s="14" customFormat="1" ht="24" x14ac:dyDescent="0.2">
      <c r="A178" s="56" t="s">
        <v>23</v>
      </c>
      <c r="B178" s="47" t="s">
        <v>446</v>
      </c>
      <c r="C178" s="32"/>
      <c r="D178" s="37"/>
      <c r="E178" s="37"/>
      <c r="F178" s="37"/>
      <c r="G178" s="34"/>
      <c r="H178" s="35">
        <f t="shared" si="7"/>
        <v>0</v>
      </c>
      <c r="I178" s="5"/>
      <c r="J178" s="82"/>
    </row>
    <row r="179" spans="1:10" s="14" customFormat="1" x14ac:dyDescent="0.2">
      <c r="A179" s="56"/>
      <c r="B179" s="39" t="s">
        <v>392</v>
      </c>
      <c r="C179" s="32" t="s">
        <v>376</v>
      </c>
      <c r="D179" s="37">
        <v>10</v>
      </c>
      <c r="E179" s="37"/>
      <c r="F179" s="37"/>
      <c r="G179" s="34">
        <v>65</v>
      </c>
      <c r="H179" s="35">
        <f t="shared" si="7"/>
        <v>650</v>
      </c>
      <c r="I179" s="5"/>
      <c r="J179" s="82"/>
    </row>
    <row r="180" spans="1:10" s="14" customFormat="1" x14ac:dyDescent="0.2">
      <c r="A180" s="56"/>
      <c r="B180" s="39" t="s">
        <v>393</v>
      </c>
      <c r="C180" s="32" t="s">
        <v>376</v>
      </c>
      <c r="D180" s="37">
        <v>40</v>
      </c>
      <c r="E180" s="37"/>
      <c r="F180" s="37"/>
      <c r="G180" s="34">
        <v>60</v>
      </c>
      <c r="H180" s="35">
        <f t="shared" si="7"/>
        <v>2400</v>
      </c>
      <c r="I180" s="5"/>
      <c r="J180" s="82"/>
    </row>
    <row r="181" spans="1:10" s="14" customFormat="1" x14ac:dyDescent="0.2">
      <c r="A181" s="56"/>
      <c r="B181" s="39" t="s">
        <v>394</v>
      </c>
      <c r="C181" s="32" t="s">
        <v>376</v>
      </c>
      <c r="D181" s="37">
        <v>45</v>
      </c>
      <c r="E181" s="37"/>
      <c r="F181" s="37"/>
      <c r="G181" s="34">
        <v>55</v>
      </c>
      <c r="H181" s="35">
        <f t="shared" si="7"/>
        <v>2475</v>
      </c>
      <c r="I181" s="5"/>
      <c r="J181" s="82"/>
    </row>
    <row r="182" spans="1:10" s="14" customFormat="1" x14ac:dyDescent="0.2">
      <c r="A182" s="56"/>
      <c r="B182" s="39" t="s">
        <v>395</v>
      </c>
      <c r="C182" s="32" t="s">
        <v>376</v>
      </c>
      <c r="D182" s="37">
        <v>50</v>
      </c>
      <c r="E182" s="37"/>
      <c r="F182" s="37"/>
      <c r="G182" s="34">
        <v>50</v>
      </c>
      <c r="H182" s="35">
        <f t="shared" si="7"/>
        <v>2500</v>
      </c>
      <c r="I182" s="5"/>
      <c r="J182" s="82"/>
    </row>
    <row r="183" spans="1:10" s="14" customFormat="1" x14ac:dyDescent="0.2">
      <c r="A183" s="56"/>
      <c r="B183" s="39" t="s">
        <v>396</v>
      </c>
      <c r="C183" s="32" t="s">
        <v>376</v>
      </c>
      <c r="D183" s="37">
        <v>110</v>
      </c>
      <c r="E183" s="37"/>
      <c r="F183" s="37"/>
      <c r="G183" s="34">
        <v>45</v>
      </c>
      <c r="H183" s="35">
        <f t="shared" si="7"/>
        <v>4950</v>
      </c>
      <c r="I183" s="5"/>
      <c r="J183" s="82"/>
    </row>
    <row r="184" spans="1:10" x14ac:dyDescent="0.2">
      <c r="A184" s="56" t="s">
        <v>24</v>
      </c>
      <c r="B184" s="39" t="s">
        <v>135</v>
      </c>
      <c r="C184" s="32" t="s">
        <v>76</v>
      </c>
      <c r="D184" s="37">
        <v>7</v>
      </c>
      <c r="E184" s="37"/>
      <c r="F184" s="37"/>
      <c r="G184" s="34">
        <v>300</v>
      </c>
      <c r="H184" s="35">
        <f t="shared" si="7"/>
        <v>2100</v>
      </c>
      <c r="J184" s="82"/>
    </row>
    <row r="185" spans="1:10" x14ac:dyDescent="0.2">
      <c r="A185" s="56" t="s">
        <v>408</v>
      </c>
      <c r="B185" s="39" t="s">
        <v>134</v>
      </c>
      <c r="C185" s="32" t="s">
        <v>76</v>
      </c>
      <c r="D185" s="37">
        <v>10</v>
      </c>
      <c r="E185" s="37"/>
      <c r="F185" s="37"/>
      <c r="G185" s="34">
        <v>150</v>
      </c>
      <c r="H185" s="35">
        <f t="shared" si="7"/>
        <v>1500</v>
      </c>
      <c r="J185" s="82"/>
    </row>
    <row r="186" spans="1:10" x14ac:dyDescent="0.2">
      <c r="A186" s="56"/>
      <c r="B186" s="31" t="s">
        <v>285</v>
      </c>
      <c r="C186" s="32"/>
      <c r="D186" s="37"/>
      <c r="E186" s="37"/>
      <c r="F186" s="37"/>
      <c r="G186" s="34"/>
      <c r="H186" s="35">
        <f t="shared" si="7"/>
        <v>0</v>
      </c>
      <c r="J186" s="82"/>
    </row>
    <row r="187" spans="1:10" s="14" customFormat="1" ht="17.25" customHeight="1" x14ac:dyDescent="0.25">
      <c r="A187" s="56" t="s">
        <v>25</v>
      </c>
      <c r="B187" s="47" t="s">
        <v>401</v>
      </c>
      <c r="C187" s="11"/>
      <c r="D187" s="37"/>
      <c r="E187" s="37"/>
      <c r="F187" s="37"/>
      <c r="G187" s="34"/>
      <c r="H187" s="35">
        <f t="shared" si="7"/>
        <v>0</v>
      </c>
      <c r="I187" s="5"/>
      <c r="J187" s="82"/>
    </row>
    <row r="188" spans="1:10" s="14" customFormat="1" ht="15" x14ac:dyDescent="0.25">
      <c r="A188" s="56"/>
      <c r="B188" s="47" t="s">
        <v>397</v>
      </c>
      <c r="C188" s="11" t="s">
        <v>76</v>
      </c>
      <c r="D188" s="37">
        <v>4</v>
      </c>
      <c r="E188" s="37"/>
      <c r="F188" s="37"/>
      <c r="G188" s="34">
        <v>600</v>
      </c>
      <c r="H188" s="35">
        <f t="shared" si="7"/>
        <v>2400</v>
      </c>
      <c r="I188" s="5"/>
      <c r="J188" s="82"/>
    </row>
    <row r="189" spans="1:10" s="14" customFormat="1" ht="15" x14ac:dyDescent="0.25">
      <c r="A189" s="56"/>
      <c r="B189" s="47" t="s">
        <v>398</v>
      </c>
      <c r="C189" s="11" t="s">
        <v>76</v>
      </c>
      <c r="D189" s="37">
        <v>4</v>
      </c>
      <c r="E189" s="37"/>
      <c r="F189" s="37"/>
      <c r="G189" s="34">
        <v>850</v>
      </c>
      <c r="H189" s="35">
        <f t="shared" si="7"/>
        <v>3400</v>
      </c>
      <c r="I189" s="5"/>
      <c r="J189" s="82"/>
    </row>
    <row r="190" spans="1:10" s="14" customFormat="1" ht="15" x14ac:dyDescent="0.25">
      <c r="A190" s="56"/>
      <c r="B190" s="47" t="s">
        <v>399</v>
      </c>
      <c r="C190" s="11" t="s">
        <v>76</v>
      </c>
      <c r="D190" s="37">
        <v>4</v>
      </c>
      <c r="E190" s="37"/>
      <c r="F190" s="37"/>
      <c r="G190" s="34">
        <v>1200</v>
      </c>
      <c r="H190" s="35">
        <f t="shared" si="7"/>
        <v>4800</v>
      </c>
      <c r="I190" s="5"/>
      <c r="J190" s="82"/>
    </row>
    <row r="191" spans="1:10" s="14" customFormat="1" x14ac:dyDescent="0.2">
      <c r="A191" s="56" t="s">
        <v>45</v>
      </c>
      <c r="B191" s="47" t="s">
        <v>400</v>
      </c>
      <c r="C191" s="32"/>
      <c r="D191" s="37"/>
      <c r="E191" s="37"/>
      <c r="F191" s="37"/>
      <c r="G191" s="34"/>
      <c r="H191" s="35">
        <f t="shared" si="7"/>
        <v>0</v>
      </c>
      <c r="I191" s="5"/>
      <c r="J191" s="82"/>
    </row>
    <row r="192" spans="1:10" s="14" customFormat="1" ht="15" customHeight="1" x14ac:dyDescent="0.2">
      <c r="A192" s="56"/>
      <c r="B192" s="47" t="s">
        <v>397</v>
      </c>
      <c r="C192" s="32" t="s">
        <v>76</v>
      </c>
      <c r="D192" s="37">
        <v>2</v>
      </c>
      <c r="E192" s="37"/>
      <c r="F192" s="37"/>
      <c r="G192" s="34">
        <v>600</v>
      </c>
      <c r="H192" s="35">
        <f t="shared" si="7"/>
        <v>1200</v>
      </c>
      <c r="I192" s="5"/>
      <c r="J192" s="82"/>
    </row>
    <row r="193" spans="1:10" s="14" customFormat="1" ht="15" customHeight="1" x14ac:dyDescent="0.2">
      <c r="A193" s="56"/>
      <c r="B193" s="47" t="s">
        <v>398</v>
      </c>
      <c r="C193" s="32" t="s">
        <v>76</v>
      </c>
      <c r="D193" s="37">
        <v>3</v>
      </c>
      <c r="E193" s="37"/>
      <c r="F193" s="37"/>
      <c r="G193" s="34">
        <v>850</v>
      </c>
      <c r="H193" s="35">
        <f t="shared" si="7"/>
        <v>2550</v>
      </c>
      <c r="I193" s="5"/>
      <c r="J193" s="82"/>
    </row>
    <row r="194" spans="1:10" s="14" customFormat="1" x14ac:dyDescent="0.2">
      <c r="A194" s="56" t="s">
        <v>246</v>
      </c>
      <c r="B194" s="47" t="s">
        <v>382</v>
      </c>
      <c r="C194" s="32" t="s">
        <v>1</v>
      </c>
      <c r="D194" s="37">
        <v>450</v>
      </c>
      <c r="E194" s="37"/>
      <c r="F194" s="37"/>
      <c r="G194" s="34">
        <v>70</v>
      </c>
      <c r="H194" s="35">
        <f t="shared" si="7"/>
        <v>31500</v>
      </c>
      <c r="I194" s="5"/>
      <c r="J194" s="82"/>
    </row>
    <row r="195" spans="1:10" s="14" customFormat="1" x14ac:dyDescent="0.2">
      <c r="A195" s="56" t="s">
        <v>33</v>
      </c>
      <c r="B195" s="47" t="s">
        <v>295</v>
      </c>
      <c r="C195" s="32"/>
      <c r="D195" s="37"/>
      <c r="E195" s="37"/>
      <c r="F195" s="37"/>
      <c r="G195" s="34"/>
      <c r="H195" s="35">
        <f t="shared" si="7"/>
        <v>0</v>
      </c>
      <c r="I195" s="5"/>
      <c r="J195" s="82"/>
    </row>
    <row r="196" spans="1:10" s="14" customFormat="1" ht="15" customHeight="1" x14ac:dyDescent="0.2">
      <c r="A196" s="56"/>
      <c r="B196" s="47" t="s">
        <v>447</v>
      </c>
      <c r="C196" s="32" t="s">
        <v>1</v>
      </c>
      <c r="D196" s="37">
        <v>50</v>
      </c>
      <c r="E196" s="37"/>
      <c r="F196" s="37"/>
      <c r="G196" s="34">
        <v>55</v>
      </c>
      <c r="H196" s="35">
        <f t="shared" si="7"/>
        <v>2750</v>
      </c>
      <c r="I196" s="5"/>
      <c r="J196" s="82"/>
    </row>
    <row r="197" spans="1:10" s="14" customFormat="1" ht="15" customHeight="1" x14ac:dyDescent="0.2">
      <c r="A197" s="56"/>
      <c r="B197" s="47" t="s">
        <v>448</v>
      </c>
      <c r="C197" s="32" t="s">
        <v>1</v>
      </c>
      <c r="D197" s="37">
        <v>60</v>
      </c>
      <c r="E197" s="37"/>
      <c r="F197" s="37"/>
      <c r="G197" s="34">
        <v>50</v>
      </c>
      <c r="H197" s="35">
        <f t="shared" si="7"/>
        <v>3000</v>
      </c>
      <c r="I197" s="5"/>
      <c r="J197" s="82"/>
    </row>
    <row r="198" spans="1:10" s="14" customFormat="1" ht="15" customHeight="1" x14ac:dyDescent="0.2">
      <c r="A198" s="56"/>
      <c r="B198" s="47" t="s">
        <v>449</v>
      </c>
      <c r="C198" s="32" t="s">
        <v>1</v>
      </c>
      <c r="D198" s="37">
        <v>120</v>
      </c>
      <c r="E198" s="37"/>
      <c r="F198" s="37"/>
      <c r="G198" s="34">
        <v>45</v>
      </c>
      <c r="H198" s="35">
        <f t="shared" si="7"/>
        <v>5400</v>
      </c>
      <c r="I198" s="5"/>
      <c r="J198" s="82"/>
    </row>
    <row r="199" spans="1:10" s="14" customFormat="1" ht="15" customHeight="1" x14ac:dyDescent="0.2">
      <c r="A199" s="56"/>
      <c r="B199" s="47" t="s">
        <v>450</v>
      </c>
      <c r="C199" s="32" t="s">
        <v>1</v>
      </c>
      <c r="D199" s="37">
        <v>170</v>
      </c>
      <c r="E199" s="37"/>
      <c r="F199" s="37"/>
      <c r="G199" s="34">
        <v>45</v>
      </c>
      <c r="H199" s="35">
        <f t="shared" si="7"/>
        <v>7650</v>
      </c>
      <c r="I199" s="5"/>
      <c r="J199" s="82"/>
    </row>
    <row r="200" spans="1:10" s="14" customFormat="1" x14ac:dyDescent="0.2">
      <c r="A200" s="56" t="s">
        <v>46</v>
      </c>
      <c r="B200" s="47" t="s">
        <v>451</v>
      </c>
      <c r="C200" s="32"/>
      <c r="D200" s="37"/>
      <c r="E200" s="37"/>
      <c r="F200" s="37"/>
      <c r="G200" s="34">
        <v>80</v>
      </c>
      <c r="H200" s="35">
        <f t="shared" si="7"/>
        <v>0</v>
      </c>
      <c r="I200" s="5"/>
      <c r="J200" s="82"/>
    </row>
    <row r="201" spans="1:10" s="14" customFormat="1" ht="15" customHeight="1" x14ac:dyDescent="0.2">
      <c r="A201" s="56"/>
      <c r="B201" s="47" t="s">
        <v>409</v>
      </c>
      <c r="C201" s="32" t="s">
        <v>376</v>
      </c>
      <c r="D201" s="37">
        <v>40</v>
      </c>
      <c r="E201" s="37"/>
      <c r="F201" s="37"/>
      <c r="G201" s="34">
        <v>100</v>
      </c>
      <c r="H201" s="35">
        <f t="shared" si="7"/>
        <v>4000</v>
      </c>
      <c r="I201" s="5"/>
      <c r="J201" s="82"/>
    </row>
    <row r="202" spans="1:10" s="14" customFormat="1" ht="15" customHeight="1" x14ac:dyDescent="0.2">
      <c r="A202" s="56"/>
      <c r="B202" s="47" t="s">
        <v>410</v>
      </c>
      <c r="C202" s="32" t="s">
        <v>376</v>
      </c>
      <c r="D202" s="37">
        <v>40</v>
      </c>
      <c r="E202" s="37"/>
      <c r="F202" s="37"/>
      <c r="G202" s="34">
        <v>120</v>
      </c>
      <c r="H202" s="35">
        <f t="shared" si="7"/>
        <v>4800</v>
      </c>
      <c r="I202" s="5"/>
      <c r="J202" s="82"/>
    </row>
    <row r="203" spans="1:10" s="14" customFormat="1" ht="15" customHeight="1" x14ac:dyDescent="0.2">
      <c r="A203" s="56"/>
      <c r="B203" s="47" t="s">
        <v>411</v>
      </c>
      <c r="C203" s="32" t="s">
        <v>376</v>
      </c>
      <c r="D203" s="37">
        <v>60</v>
      </c>
      <c r="E203" s="37"/>
      <c r="F203" s="37"/>
      <c r="G203" s="34">
        <v>140</v>
      </c>
      <c r="H203" s="35">
        <f t="shared" si="7"/>
        <v>8400</v>
      </c>
      <c r="I203" s="5"/>
      <c r="J203" s="82"/>
    </row>
    <row r="204" spans="1:10" s="14" customFormat="1" x14ac:dyDescent="0.2">
      <c r="A204" s="56" t="s">
        <v>69</v>
      </c>
      <c r="B204" s="47" t="s">
        <v>85</v>
      </c>
      <c r="C204" s="32" t="s">
        <v>76</v>
      </c>
      <c r="D204" s="37">
        <v>38</v>
      </c>
      <c r="E204" s="37"/>
      <c r="F204" s="37"/>
      <c r="G204" s="34">
        <v>200</v>
      </c>
      <c r="H204" s="35">
        <f t="shared" si="7"/>
        <v>7600</v>
      </c>
      <c r="I204" s="5"/>
      <c r="J204" s="82"/>
    </row>
    <row r="205" spans="1:10" s="14" customFormat="1" x14ac:dyDescent="0.2">
      <c r="A205" s="56" t="s">
        <v>74</v>
      </c>
      <c r="B205" s="47" t="s">
        <v>286</v>
      </c>
      <c r="C205" s="32" t="s">
        <v>76</v>
      </c>
      <c r="D205" s="37">
        <v>10</v>
      </c>
      <c r="E205" s="37"/>
      <c r="F205" s="37"/>
      <c r="G205" s="34">
        <v>150</v>
      </c>
      <c r="H205" s="35">
        <f t="shared" si="7"/>
        <v>1500</v>
      </c>
      <c r="I205" s="5"/>
      <c r="J205" s="82"/>
    </row>
    <row r="206" spans="1:10" s="14" customFormat="1" x14ac:dyDescent="0.2">
      <c r="A206" s="56" t="s">
        <v>383</v>
      </c>
      <c r="B206" s="39" t="s">
        <v>287</v>
      </c>
      <c r="C206" s="32" t="s">
        <v>76</v>
      </c>
      <c r="D206" s="37">
        <v>3</v>
      </c>
      <c r="E206" s="37"/>
      <c r="F206" s="37"/>
      <c r="G206" s="34">
        <v>200</v>
      </c>
      <c r="H206" s="35">
        <f t="shared" si="7"/>
        <v>600</v>
      </c>
      <c r="I206" s="5"/>
      <c r="J206" s="82"/>
    </row>
    <row r="207" spans="1:10" s="14" customFormat="1" x14ac:dyDescent="0.2">
      <c r="A207" s="56" t="s">
        <v>384</v>
      </c>
      <c r="B207" s="46" t="s">
        <v>412</v>
      </c>
      <c r="C207" s="32" t="s">
        <v>76</v>
      </c>
      <c r="D207" s="42">
        <v>12</v>
      </c>
      <c r="E207" s="42"/>
      <c r="F207" s="42"/>
      <c r="G207" s="43">
        <v>150</v>
      </c>
      <c r="H207" s="35">
        <f t="shared" si="7"/>
        <v>1800</v>
      </c>
      <c r="I207" s="5"/>
      <c r="J207" s="82"/>
    </row>
    <row r="208" spans="1:10" ht="17.100000000000001" customHeight="1" x14ac:dyDescent="0.2">
      <c r="A208" s="56"/>
      <c r="B208" s="31" t="s">
        <v>47</v>
      </c>
      <c r="C208" s="32"/>
      <c r="D208" s="37"/>
      <c r="E208" s="37"/>
      <c r="F208" s="37"/>
      <c r="G208" s="34"/>
      <c r="H208" s="35">
        <f t="shared" si="7"/>
        <v>0</v>
      </c>
      <c r="J208" s="82"/>
    </row>
    <row r="209" spans="1:10" ht="17.100000000000001" customHeight="1" x14ac:dyDescent="0.2">
      <c r="A209" s="56" t="s">
        <v>70</v>
      </c>
      <c r="B209" s="39" t="s">
        <v>300</v>
      </c>
      <c r="C209" s="32" t="s">
        <v>76</v>
      </c>
      <c r="D209" s="37">
        <v>5</v>
      </c>
      <c r="E209" s="37"/>
      <c r="F209" s="37"/>
      <c r="G209" s="34">
        <v>1000</v>
      </c>
      <c r="H209" s="35">
        <f t="shared" si="7"/>
        <v>5000</v>
      </c>
      <c r="J209" s="82"/>
    </row>
    <row r="210" spans="1:10" ht="17.100000000000001" customHeight="1" x14ac:dyDescent="0.2">
      <c r="A210" s="56" t="s">
        <v>48</v>
      </c>
      <c r="B210" s="39" t="s">
        <v>333</v>
      </c>
      <c r="C210" s="32" t="s">
        <v>76</v>
      </c>
      <c r="D210" s="37">
        <v>3</v>
      </c>
      <c r="E210" s="37"/>
      <c r="F210" s="37"/>
      <c r="G210" s="34">
        <v>1000</v>
      </c>
      <c r="H210" s="35">
        <f t="shared" si="7"/>
        <v>3000</v>
      </c>
      <c r="J210" s="82"/>
    </row>
    <row r="211" spans="1:10" ht="17.100000000000001" customHeight="1" x14ac:dyDescent="0.2">
      <c r="A211" s="56" t="s">
        <v>347</v>
      </c>
      <c r="B211" s="39" t="s">
        <v>413</v>
      </c>
      <c r="C211" s="32" t="s">
        <v>76</v>
      </c>
      <c r="D211" s="37">
        <v>1</v>
      </c>
      <c r="E211" s="37"/>
      <c r="F211" s="37"/>
      <c r="G211" s="34">
        <v>5000</v>
      </c>
      <c r="H211" s="35">
        <f t="shared" si="7"/>
        <v>5000</v>
      </c>
      <c r="J211" s="82"/>
    </row>
    <row r="212" spans="1:10" ht="17.100000000000001" customHeight="1" x14ac:dyDescent="0.2">
      <c r="A212" s="56" t="s">
        <v>49</v>
      </c>
      <c r="B212" s="39" t="s">
        <v>0</v>
      </c>
      <c r="C212" s="32" t="s">
        <v>76</v>
      </c>
      <c r="D212" s="37">
        <v>9</v>
      </c>
      <c r="E212" s="37"/>
      <c r="F212" s="37"/>
      <c r="G212" s="34">
        <v>1000</v>
      </c>
      <c r="H212" s="35">
        <f t="shared" si="7"/>
        <v>9000</v>
      </c>
      <c r="J212" s="82"/>
    </row>
    <row r="213" spans="1:10" ht="17.100000000000001" customHeight="1" x14ac:dyDescent="0.2">
      <c r="A213" s="56" t="s">
        <v>50</v>
      </c>
      <c r="B213" s="39" t="s">
        <v>28</v>
      </c>
      <c r="C213" s="32" t="s">
        <v>76</v>
      </c>
      <c r="D213" s="37">
        <v>22</v>
      </c>
      <c r="E213" s="37"/>
      <c r="F213" s="37"/>
      <c r="G213" s="34">
        <v>800</v>
      </c>
      <c r="H213" s="35">
        <f t="shared" si="7"/>
        <v>17600</v>
      </c>
      <c r="J213" s="82"/>
    </row>
    <row r="214" spans="1:10" ht="17.100000000000001" customHeight="1" x14ac:dyDescent="0.2">
      <c r="A214" s="56" t="s">
        <v>51</v>
      </c>
      <c r="B214" s="39" t="s">
        <v>53</v>
      </c>
      <c r="C214" s="32" t="s">
        <v>76</v>
      </c>
      <c r="D214" s="37">
        <v>3</v>
      </c>
      <c r="E214" s="37"/>
      <c r="F214" s="37"/>
      <c r="G214" s="34">
        <v>900</v>
      </c>
      <c r="H214" s="35">
        <f t="shared" si="7"/>
        <v>2700</v>
      </c>
      <c r="J214" s="82"/>
    </row>
    <row r="215" spans="1:10" ht="17.100000000000001" customHeight="1" x14ac:dyDescent="0.2">
      <c r="A215" s="56" t="s">
        <v>52</v>
      </c>
      <c r="B215" s="39" t="s">
        <v>95</v>
      </c>
      <c r="C215" s="32" t="s">
        <v>76</v>
      </c>
      <c r="D215" s="37">
        <v>3</v>
      </c>
      <c r="E215" s="37"/>
      <c r="F215" s="37"/>
      <c r="G215" s="34">
        <v>1100</v>
      </c>
      <c r="H215" s="35">
        <f t="shared" si="7"/>
        <v>3300</v>
      </c>
      <c r="J215" s="82"/>
    </row>
    <row r="216" spans="1:10" ht="17.100000000000001" customHeight="1" x14ac:dyDescent="0.2">
      <c r="A216" s="56" t="s">
        <v>54</v>
      </c>
      <c r="B216" s="39" t="s">
        <v>452</v>
      </c>
      <c r="C216" s="32" t="s">
        <v>76</v>
      </c>
      <c r="D216" s="37">
        <v>2</v>
      </c>
      <c r="E216" s="37"/>
      <c r="F216" s="37"/>
      <c r="G216" s="34">
        <v>3000</v>
      </c>
      <c r="H216" s="35">
        <f t="shared" si="7"/>
        <v>6000</v>
      </c>
      <c r="J216" s="82"/>
    </row>
    <row r="217" spans="1:10" ht="17.100000000000001" customHeight="1" x14ac:dyDescent="0.2">
      <c r="A217" s="56" t="s">
        <v>39</v>
      </c>
      <c r="B217" s="39" t="s">
        <v>94</v>
      </c>
      <c r="C217" s="32" t="s">
        <v>76</v>
      </c>
      <c r="D217" s="37">
        <v>6</v>
      </c>
      <c r="E217" s="37"/>
      <c r="F217" s="37"/>
      <c r="G217" s="34">
        <v>1000</v>
      </c>
      <c r="H217" s="35">
        <f t="shared" si="7"/>
        <v>6000</v>
      </c>
      <c r="J217" s="82"/>
    </row>
    <row r="218" spans="1:10" ht="17.100000000000001" customHeight="1" x14ac:dyDescent="0.2">
      <c r="A218" s="56" t="s">
        <v>55</v>
      </c>
      <c r="B218" s="39" t="s">
        <v>128</v>
      </c>
      <c r="C218" s="32" t="s">
        <v>76</v>
      </c>
      <c r="D218" s="37">
        <v>24</v>
      </c>
      <c r="E218" s="37"/>
      <c r="F218" s="37"/>
      <c r="G218" s="34">
        <v>800</v>
      </c>
      <c r="H218" s="35">
        <f t="shared" si="7"/>
        <v>19200</v>
      </c>
      <c r="J218" s="82"/>
    </row>
    <row r="219" spans="1:10" ht="17.100000000000001" customHeight="1" x14ac:dyDescent="0.2">
      <c r="A219" s="56" t="s">
        <v>71</v>
      </c>
      <c r="B219" s="39" t="s">
        <v>72</v>
      </c>
      <c r="C219" s="32"/>
      <c r="D219" s="37"/>
      <c r="E219" s="37"/>
      <c r="F219" s="37"/>
      <c r="G219" s="34"/>
      <c r="H219" s="35">
        <f t="shared" si="7"/>
        <v>0</v>
      </c>
      <c r="J219" s="82"/>
    </row>
    <row r="220" spans="1:10" ht="17.100000000000001" customHeight="1" x14ac:dyDescent="0.2">
      <c r="A220" s="56" t="s">
        <v>414</v>
      </c>
      <c r="B220" s="39" t="s">
        <v>247</v>
      </c>
      <c r="C220" s="32" t="s">
        <v>76</v>
      </c>
      <c r="D220" s="37">
        <v>1</v>
      </c>
      <c r="E220" s="37"/>
      <c r="F220" s="37"/>
      <c r="G220" s="34">
        <v>15000</v>
      </c>
      <c r="H220" s="35">
        <f t="shared" si="7"/>
        <v>15000</v>
      </c>
      <c r="J220" s="82"/>
    </row>
    <row r="221" spans="1:10" ht="17.100000000000001" customHeight="1" x14ac:dyDescent="0.2">
      <c r="A221" s="56" t="s">
        <v>453</v>
      </c>
      <c r="B221" s="39" t="s">
        <v>248</v>
      </c>
      <c r="C221" s="32" t="s">
        <v>76</v>
      </c>
      <c r="D221" s="37">
        <v>2</v>
      </c>
      <c r="E221" s="37"/>
      <c r="F221" s="37"/>
      <c r="G221" s="34">
        <v>9000</v>
      </c>
      <c r="H221" s="35">
        <f t="shared" si="7"/>
        <v>18000</v>
      </c>
      <c r="J221" s="82"/>
    </row>
    <row r="222" spans="1:10" ht="17.100000000000001" customHeight="1" x14ac:dyDescent="0.2">
      <c r="A222" s="56"/>
      <c r="B222" s="62" t="s">
        <v>56</v>
      </c>
      <c r="C222" s="41"/>
      <c r="D222" s="42"/>
      <c r="E222" s="42"/>
      <c r="F222" s="42"/>
      <c r="G222" s="43"/>
      <c r="H222" s="35">
        <f t="shared" si="7"/>
        <v>0</v>
      </c>
      <c r="J222" s="82"/>
    </row>
    <row r="223" spans="1:10" ht="17.100000000000001" customHeight="1" x14ac:dyDescent="0.2">
      <c r="A223" s="56" t="s">
        <v>26</v>
      </c>
      <c r="B223" s="63" t="s">
        <v>86</v>
      </c>
      <c r="C223" s="32" t="s">
        <v>76</v>
      </c>
      <c r="D223" s="37">
        <v>15</v>
      </c>
      <c r="E223" s="37"/>
      <c r="F223" s="37"/>
      <c r="G223" s="34">
        <v>900</v>
      </c>
      <c r="H223" s="35">
        <f t="shared" si="7"/>
        <v>13500</v>
      </c>
      <c r="J223" s="82"/>
    </row>
    <row r="224" spans="1:10" s="83" customFormat="1" ht="17.100000000000001" customHeight="1" x14ac:dyDescent="0.2">
      <c r="A224" s="56" t="s">
        <v>27</v>
      </c>
      <c r="B224" s="64" t="s">
        <v>301</v>
      </c>
      <c r="C224" s="59" t="s">
        <v>76</v>
      </c>
      <c r="D224" s="37">
        <v>4</v>
      </c>
      <c r="E224" s="37"/>
      <c r="F224" s="37"/>
      <c r="G224" s="60">
        <v>950</v>
      </c>
      <c r="H224" s="35">
        <f t="shared" si="7"/>
        <v>3800</v>
      </c>
      <c r="I224" s="5"/>
      <c r="J224" s="82"/>
    </row>
    <row r="225" spans="1:10" s="5" customFormat="1" ht="18" customHeight="1" x14ac:dyDescent="0.2">
      <c r="A225" s="56" t="s">
        <v>249</v>
      </c>
      <c r="B225" s="63" t="s">
        <v>81</v>
      </c>
      <c r="C225" s="32" t="s">
        <v>76</v>
      </c>
      <c r="D225" s="37">
        <v>3</v>
      </c>
      <c r="E225" s="37"/>
      <c r="F225" s="37"/>
      <c r="G225" s="34">
        <v>3500</v>
      </c>
      <c r="H225" s="35">
        <f t="shared" si="7"/>
        <v>10500</v>
      </c>
      <c r="J225" s="82"/>
    </row>
    <row r="226" spans="1:10" s="5" customFormat="1" ht="18" customHeight="1" x14ac:dyDescent="0.2">
      <c r="A226" s="56" t="s">
        <v>250</v>
      </c>
      <c r="B226" s="63" t="s">
        <v>125</v>
      </c>
      <c r="C226" s="32" t="s">
        <v>76</v>
      </c>
      <c r="D226" s="37">
        <v>1</v>
      </c>
      <c r="E226" s="37"/>
      <c r="F226" s="37"/>
      <c r="G226" s="34">
        <v>15000</v>
      </c>
      <c r="H226" s="35">
        <f t="shared" si="7"/>
        <v>15000</v>
      </c>
      <c r="J226" s="82"/>
    </row>
    <row r="227" spans="1:10" s="14" customFormat="1" x14ac:dyDescent="0.2">
      <c r="A227" s="56" t="s">
        <v>379</v>
      </c>
      <c r="B227" s="47" t="s">
        <v>380</v>
      </c>
      <c r="C227" s="32" t="s">
        <v>1</v>
      </c>
      <c r="D227" s="37">
        <v>60</v>
      </c>
      <c r="E227" s="37"/>
      <c r="F227" s="37"/>
      <c r="G227" s="34">
        <v>120</v>
      </c>
      <c r="H227" s="35">
        <f t="shared" si="7"/>
        <v>7200</v>
      </c>
      <c r="I227" s="5"/>
      <c r="J227" s="82"/>
    </row>
    <row r="228" spans="1:10" s="14" customFormat="1" x14ac:dyDescent="0.2">
      <c r="A228" s="56" t="s">
        <v>381</v>
      </c>
      <c r="B228" s="63" t="s">
        <v>454</v>
      </c>
      <c r="C228" s="32"/>
      <c r="D228" s="37"/>
      <c r="E228" s="37"/>
      <c r="F228" s="37"/>
      <c r="G228" s="34"/>
      <c r="H228" s="35">
        <f t="shared" si="7"/>
        <v>0</v>
      </c>
      <c r="I228" s="5"/>
      <c r="J228" s="82"/>
    </row>
    <row r="229" spans="1:10" s="14" customFormat="1" x14ac:dyDescent="0.2">
      <c r="A229" s="56" t="s">
        <v>415</v>
      </c>
      <c r="B229" s="47" t="s">
        <v>417</v>
      </c>
      <c r="C229" s="32" t="s">
        <v>1</v>
      </c>
      <c r="D229" s="37">
        <v>60</v>
      </c>
      <c r="E229" s="37"/>
      <c r="F229" s="37"/>
      <c r="G229" s="34">
        <v>150</v>
      </c>
      <c r="H229" s="35">
        <f t="shared" si="7"/>
        <v>9000</v>
      </c>
      <c r="I229" s="5"/>
      <c r="J229" s="82"/>
    </row>
    <row r="230" spans="1:10" s="14" customFormat="1" x14ac:dyDescent="0.2">
      <c r="A230" s="56" t="s">
        <v>416</v>
      </c>
      <c r="B230" s="47" t="s">
        <v>418</v>
      </c>
      <c r="C230" s="32" t="s">
        <v>1</v>
      </c>
      <c r="D230" s="37">
        <v>40</v>
      </c>
      <c r="E230" s="37"/>
      <c r="F230" s="37"/>
      <c r="G230" s="34">
        <v>140</v>
      </c>
      <c r="H230" s="35">
        <f t="shared" si="7"/>
        <v>5600</v>
      </c>
      <c r="I230" s="5"/>
      <c r="J230" s="82"/>
    </row>
    <row r="231" spans="1:10" ht="18" customHeight="1" x14ac:dyDescent="0.2">
      <c r="A231" s="250" t="s">
        <v>113</v>
      </c>
      <c r="B231" s="251"/>
      <c r="C231" s="251"/>
      <c r="D231" s="251"/>
      <c r="E231" s="251"/>
      <c r="F231" s="251"/>
      <c r="G231" s="252"/>
      <c r="H231" s="38">
        <f>SUM(H174:H230)</f>
        <v>329425</v>
      </c>
      <c r="J231" s="82"/>
    </row>
    <row r="232" spans="1:10" ht="18" customHeight="1" x14ac:dyDescent="0.2">
      <c r="A232" s="40"/>
      <c r="B232" s="62" t="s">
        <v>251</v>
      </c>
      <c r="C232" s="41"/>
      <c r="D232" s="65"/>
      <c r="E232" s="65"/>
      <c r="F232" s="65"/>
      <c r="G232" s="43"/>
      <c r="H232" s="35"/>
      <c r="J232" s="82"/>
    </row>
    <row r="233" spans="1:10" s="83" customFormat="1" ht="18" customHeight="1" x14ac:dyDescent="0.2">
      <c r="A233" s="66" t="s">
        <v>57</v>
      </c>
      <c r="B233" s="53" t="s">
        <v>358</v>
      </c>
      <c r="C233" s="67" t="s">
        <v>4</v>
      </c>
      <c r="D233" s="42">
        <v>6920</v>
      </c>
      <c r="E233" s="42"/>
      <c r="F233" s="42"/>
      <c r="G233" s="68">
        <v>18</v>
      </c>
      <c r="H233" s="35">
        <f>+G233*D233</f>
        <v>124560</v>
      </c>
      <c r="I233" s="68"/>
      <c r="J233" s="82"/>
    </row>
    <row r="234" spans="1:10" s="83" customFormat="1" ht="18" customHeight="1" x14ac:dyDescent="0.2">
      <c r="A234" s="66" t="s">
        <v>58</v>
      </c>
      <c r="B234" s="54" t="s">
        <v>309</v>
      </c>
      <c r="C234" s="67" t="s">
        <v>4</v>
      </c>
      <c r="D234" s="42">
        <v>4525</v>
      </c>
      <c r="E234" s="42"/>
      <c r="F234" s="42"/>
      <c r="G234" s="68">
        <v>18</v>
      </c>
      <c r="H234" s="35">
        <f>+G234*D234</f>
        <v>81450</v>
      </c>
      <c r="I234" s="68"/>
      <c r="J234" s="82"/>
    </row>
    <row r="235" spans="1:10" ht="18" customHeight="1" x14ac:dyDescent="0.2">
      <c r="A235" s="66" t="s">
        <v>59</v>
      </c>
      <c r="B235" s="45" t="s">
        <v>89</v>
      </c>
      <c r="C235" s="41" t="s">
        <v>4</v>
      </c>
      <c r="D235" s="42">
        <v>620</v>
      </c>
      <c r="E235" s="42"/>
      <c r="F235" s="42"/>
      <c r="G235" s="43">
        <v>20</v>
      </c>
      <c r="H235" s="35">
        <f>+G235*D235</f>
        <v>12400</v>
      </c>
      <c r="I235" s="43"/>
      <c r="J235" s="82"/>
    </row>
    <row r="236" spans="1:10" ht="18" customHeight="1" x14ac:dyDescent="0.2">
      <c r="A236" s="66" t="s">
        <v>348</v>
      </c>
      <c r="B236" s="46" t="s">
        <v>87</v>
      </c>
      <c r="C236" s="41" t="s">
        <v>4</v>
      </c>
      <c r="D236" s="42">
        <v>640</v>
      </c>
      <c r="E236" s="42"/>
      <c r="F236" s="42"/>
      <c r="G236" s="43">
        <v>20</v>
      </c>
      <c r="H236" s="35">
        <f>+G236*D236</f>
        <v>12800</v>
      </c>
      <c r="I236" s="43"/>
      <c r="J236" s="82"/>
    </row>
    <row r="237" spans="1:10" ht="18" customHeight="1" x14ac:dyDescent="0.2">
      <c r="A237" s="66" t="s">
        <v>60</v>
      </c>
      <c r="B237" s="39" t="s">
        <v>88</v>
      </c>
      <c r="C237" s="41" t="s">
        <v>4</v>
      </c>
      <c r="D237" s="42">
        <v>610</v>
      </c>
      <c r="E237" s="42"/>
      <c r="F237" s="42"/>
      <c r="G237" s="43">
        <v>20</v>
      </c>
      <c r="H237" s="35">
        <f>+G237*D237</f>
        <v>12200</v>
      </c>
      <c r="I237" s="43"/>
      <c r="J237" s="82"/>
    </row>
    <row r="238" spans="1:10" ht="18" customHeight="1" x14ac:dyDescent="0.2">
      <c r="A238" s="250" t="s">
        <v>114</v>
      </c>
      <c r="B238" s="251"/>
      <c r="C238" s="251"/>
      <c r="D238" s="251"/>
      <c r="E238" s="251"/>
      <c r="F238" s="251"/>
      <c r="G238" s="252"/>
      <c r="H238" s="38">
        <f>SUM(H232:H237)</f>
        <v>243410</v>
      </c>
      <c r="J238" s="82"/>
    </row>
    <row r="239" spans="1:10" ht="18" customHeight="1" x14ac:dyDescent="0.2">
      <c r="A239" s="69"/>
      <c r="B239" s="70" t="s">
        <v>252</v>
      </c>
      <c r="C239" s="71"/>
      <c r="D239" s="72"/>
      <c r="E239" s="72"/>
      <c r="F239" s="72"/>
      <c r="G239" s="73"/>
      <c r="H239" s="35"/>
      <c r="J239" s="82"/>
    </row>
    <row r="240" spans="1:10" ht="18" customHeight="1" x14ac:dyDescent="0.2">
      <c r="A240" s="57" t="s">
        <v>29</v>
      </c>
      <c r="B240" s="45" t="s">
        <v>297</v>
      </c>
      <c r="C240" s="32" t="s">
        <v>4</v>
      </c>
      <c r="D240" s="42">
        <v>1056</v>
      </c>
      <c r="E240" s="42"/>
      <c r="F240" s="42"/>
      <c r="G240" s="43">
        <v>130</v>
      </c>
      <c r="H240" s="35">
        <f t="shared" ref="H240:H247" si="8">+G240*D240</f>
        <v>137280</v>
      </c>
      <c r="I240" s="43"/>
      <c r="J240" s="82"/>
    </row>
    <row r="241" spans="1:10" ht="18" customHeight="1" x14ac:dyDescent="0.2">
      <c r="A241" s="57" t="s">
        <v>30</v>
      </c>
      <c r="B241" s="45" t="s">
        <v>298</v>
      </c>
      <c r="C241" s="32" t="s">
        <v>4</v>
      </c>
      <c r="D241" s="42">
        <v>540</v>
      </c>
      <c r="E241" s="42"/>
      <c r="F241" s="42"/>
      <c r="G241" s="43">
        <v>130</v>
      </c>
      <c r="H241" s="35">
        <f t="shared" si="8"/>
        <v>70200</v>
      </c>
      <c r="I241" s="43"/>
      <c r="J241" s="82"/>
    </row>
    <row r="242" spans="1:10" ht="18" customHeight="1" x14ac:dyDescent="0.2">
      <c r="A242" s="57" t="s">
        <v>31</v>
      </c>
      <c r="B242" s="44" t="s">
        <v>296</v>
      </c>
      <c r="C242" s="32" t="s">
        <v>4</v>
      </c>
      <c r="D242" s="42">
        <v>338</v>
      </c>
      <c r="E242" s="42"/>
      <c r="F242" s="42"/>
      <c r="G242" s="43">
        <v>130</v>
      </c>
      <c r="H242" s="35">
        <f t="shared" si="8"/>
        <v>43940</v>
      </c>
      <c r="I242" s="43"/>
      <c r="J242" s="82"/>
    </row>
    <row r="243" spans="1:10" ht="18" customHeight="1" x14ac:dyDescent="0.2">
      <c r="A243" s="57" t="s">
        <v>32</v>
      </c>
      <c r="B243" s="45" t="s">
        <v>331</v>
      </c>
      <c r="C243" s="41" t="s">
        <v>1</v>
      </c>
      <c r="D243" s="42">
        <v>90</v>
      </c>
      <c r="E243" s="42"/>
      <c r="F243" s="42"/>
      <c r="G243" s="43">
        <v>600</v>
      </c>
      <c r="H243" s="35">
        <f t="shared" si="8"/>
        <v>54000</v>
      </c>
      <c r="I243" s="43"/>
      <c r="J243" s="82"/>
    </row>
    <row r="244" spans="1:10" ht="18" customHeight="1" x14ac:dyDescent="0.2">
      <c r="A244" s="57" t="s">
        <v>62</v>
      </c>
      <c r="B244" s="53" t="s">
        <v>306</v>
      </c>
      <c r="C244" s="41" t="s">
        <v>76</v>
      </c>
      <c r="D244" s="42">
        <v>1</v>
      </c>
      <c r="E244" s="42"/>
      <c r="F244" s="42"/>
      <c r="G244" s="43">
        <v>30000</v>
      </c>
      <c r="H244" s="35">
        <f t="shared" si="8"/>
        <v>30000</v>
      </c>
      <c r="I244" s="43"/>
      <c r="J244" s="82"/>
    </row>
    <row r="245" spans="1:10" ht="18" customHeight="1" x14ac:dyDescent="0.2">
      <c r="A245" s="57" t="s">
        <v>63</v>
      </c>
      <c r="B245" s="53" t="s">
        <v>307</v>
      </c>
      <c r="C245" s="41" t="s">
        <v>76</v>
      </c>
      <c r="D245" s="42">
        <v>1</v>
      </c>
      <c r="E245" s="42"/>
      <c r="F245" s="42"/>
      <c r="G245" s="43">
        <v>20000</v>
      </c>
      <c r="H245" s="35">
        <f t="shared" si="8"/>
        <v>20000</v>
      </c>
      <c r="I245" s="43"/>
      <c r="J245" s="82"/>
    </row>
    <row r="246" spans="1:10" ht="18" customHeight="1" x14ac:dyDescent="0.2">
      <c r="A246" s="57" t="s">
        <v>64</v>
      </c>
      <c r="B246" s="53" t="s">
        <v>308</v>
      </c>
      <c r="C246" s="41" t="s">
        <v>76</v>
      </c>
      <c r="D246" s="42">
        <v>1</v>
      </c>
      <c r="E246" s="42"/>
      <c r="F246" s="42"/>
      <c r="G246" s="43">
        <v>20000</v>
      </c>
      <c r="H246" s="35">
        <f t="shared" si="8"/>
        <v>20000</v>
      </c>
      <c r="I246" s="43"/>
      <c r="J246" s="82"/>
    </row>
    <row r="247" spans="1:10" s="5" customFormat="1" ht="18" customHeight="1" x14ac:dyDescent="0.2">
      <c r="A247" s="57" t="s">
        <v>310</v>
      </c>
      <c r="B247" s="74" t="s">
        <v>311</v>
      </c>
      <c r="C247" s="75" t="s">
        <v>76</v>
      </c>
      <c r="D247" s="42">
        <v>1</v>
      </c>
      <c r="E247" s="42"/>
      <c r="F247" s="42"/>
      <c r="G247" s="76">
        <v>20000</v>
      </c>
      <c r="H247" s="35">
        <f t="shared" si="8"/>
        <v>20000</v>
      </c>
      <c r="I247" s="76"/>
      <c r="J247" s="82"/>
    </row>
    <row r="248" spans="1:10" ht="18" customHeight="1" x14ac:dyDescent="0.2">
      <c r="A248" s="250" t="s">
        <v>115</v>
      </c>
      <c r="B248" s="251"/>
      <c r="C248" s="251"/>
      <c r="D248" s="251"/>
      <c r="E248" s="251"/>
      <c r="F248" s="251"/>
      <c r="G248" s="252"/>
      <c r="H248" s="38">
        <f>SUM(H239:H247)</f>
        <v>395420</v>
      </c>
      <c r="J248" s="82"/>
    </row>
    <row r="249" spans="1:10" ht="18" customHeight="1" x14ac:dyDescent="0.2">
      <c r="A249" s="40"/>
      <c r="B249" s="62" t="s">
        <v>253</v>
      </c>
      <c r="C249" s="41"/>
      <c r="D249" s="43"/>
      <c r="E249" s="43"/>
      <c r="F249" s="43"/>
      <c r="G249" s="77"/>
      <c r="H249" s="35"/>
      <c r="J249" s="82"/>
    </row>
    <row r="250" spans="1:10" s="5" customFormat="1" ht="17.100000000000001" customHeight="1" x14ac:dyDescent="0.2">
      <c r="A250" s="56" t="s">
        <v>61</v>
      </c>
      <c r="B250" s="46" t="s">
        <v>132</v>
      </c>
      <c r="C250" s="41" t="s">
        <v>5</v>
      </c>
      <c r="D250" s="37">
        <v>200</v>
      </c>
      <c r="E250" s="37"/>
      <c r="F250" s="37"/>
      <c r="G250" s="34">
        <v>25</v>
      </c>
      <c r="H250" s="35">
        <f>+G250*D250</f>
        <v>5000</v>
      </c>
      <c r="I250" s="34"/>
      <c r="J250" s="82"/>
    </row>
    <row r="251" spans="1:10" ht="18" customHeight="1" x14ac:dyDescent="0.2">
      <c r="A251" s="56" t="s">
        <v>65</v>
      </c>
      <c r="B251" s="46" t="s">
        <v>131</v>
      </c>
      <c r="C251" s="32" t="s">
        <v>76</v>
      </c>
      <c r="D251" s="42">
        <v>40</v>
      </c>
      <c r="E251" s="42"/>
      <c r="F251" s="42"/>
      <c r="G251" s="43">
        <v>30</v>
      </c>
      <c r="H251" s="35">
        <f>+G251*D251</f>
        <v>1200</v>
      </c>
      <c r="I251" s="43"/>
      <c r="J251" s="82"/>
    </row>
    <row r="252" spans="1:10" ht="18" customHeight="1" x14ac:dyDescent="0.2">
      <c r="A252" s="56" t="s">
        <v>66</v>
      </c>
      <c r="B252" s="46" t="s">
        <v>129</v>
      </c>
      <c r="C252" s="32" t="s">
        <v>76</v>
      </c>
      <c r="D252" s="42">
        <v>10</v>
      </c>
      <c r="E252" s="42"/>
      <c r="F252" s="42"/>
      <c r="G252" s="43">
        <v>700</v>
      </c>
      <c r="H252" s="35">
        <f>+G252*D252</f>
        <v>7000</v>
      </c>
      <c r="I252" s="43"/>
      <c r="J252" s="82"/>
    </row>
    <row r="253" spans="1:10" ht="18" customHeight="1" x14ac:dyDescent="0.2">
      <c r="A253" s="56" t="s">
        <v>67</v>
      </c>
      <c r="B253" s="46" t="s">
        <v>130</v>
      </c>
      <c r="C253" s="32" t="s">
        <v>76</v>
      </c>
      <c r="D253" s="42">
        <v>10</v>
      </c>
      <c r="E253" s="42"/>
      <c r="F253" s="42"/>
      <c r="G253" s="43">
        <v>800</v>
      </c>
      <c r="H253" s="35">
        <f>+G253*D253</f>
        <v>8000</v>
      </c>
      <c r="I253" s="43"/>
      <c r="J253" s="82"/>
    </row>
    <row r="254" spans="1:10" ht="18" customHeight="1" x14ac:dyDescent="0.2">
      <c r="A254" s="56" t="s">
        <v>419</v>
      </c>
      <c r="B254" s="46" t="s">
        <v>420</v>
      </c>
      <c r="C254" s="32" t="s">
        <v>4</v>
      </c>
      <c r="D254" s="42">
        <v>360</v>
      </c>
      <c r="E254" s="42"/>
      <c r="F254" s="42"/>
      <c r="G254" s="43">
        <v>15</v>
      </c>
      <c r="H254" s="35">
        <f>+G254*D254</f>
        <v>5400</v>
      </c>
      <c r="I254" s="43"/>
      <c r="J254" s="82"/>
    </row>
    <row r="255" spans="1:10" ht="18" customHeight="1" x14ac:dyDescent="0.2">
      <c r="A255" s="250" t="s">
        <v>116</v>
      </c>
      <c r="B255" s="251"/>
      <c r="C255" s="251"/>
      <c r="D255" s="251"/>
      <c r="E255" s="251"/>
      <c r="F255" s="251"/>
      <c r="G255" s="252"/>
      <c r="H255" s="38">
        <f>SUM(H249:H254)</f>
        <v>26600</v>
      </c>
      <c r="J255" s="82"/>
    </row>
    <row r="256" spans="1:10" ht="18" customHeight="1" x14ac:dyDescent="0.2">
      <c r="A256" s="2"/>
      <c r="B256" s="3"/>
      <c r="C256" s="3"/>
      <c r="G256" s="12"/>
      <c r="H256" s="78"/>
    </row>
    <row r="257" spans="1:10" ht="18" customHeight="1" x14ac:dyDescent="0.2">
      <c r="A257" s="247" t="s">
        <v>117</v>
      </c>
      <c r="B257" s="247"/>
      <c r="C257" s="247"/>
      <c r="D257" s="248">
        <f>H255+H248+H238+H231+H173+H133+H107+H91+H80</f>
        <v>6970684</v>
      </c>
      <c r="E257" s="248"/>
      <c r="F257" s="248"/>
      <c r="G257" s="248"/>
      <c r="H257" s="248"/>
      <c r="J257" s="82"/>
    </row>
    <row r="258" spans="1:10" ht="18" customHeight="1" x14ac:dyDescent="0.2">
      <c r="A258" s="247" t="s">
        <v>118</v>
      </c>
      <c r="B258" s="247"/>
      <c r="C258" s="247"/>
      <c r="D258" s="248">
        <f>D257*0.2</f>
        <v>1394136.8</v>
      </c>
      <c r="E258" s="248"/>
      <c r="F258" s="248"/>
      <c r="G258" s="248"/>
      <c r="H258" s="248"/>
      <c r="J258" s="15"/>
    </row>
    <row r="259" spans="1:10" ht="18" customHeight="1" x14ac:dyDescent="0.2">
      <c r="A259" s="247" t="s">
        <v>119</v>
      </c>
      <c r="B259" s="247"/>
      <c r="C259" s="247"/>
      <c r="D259" s="248">
        <f>D258+D257</f>
        <v>8364820.7999999998</v>
      </c>
      <c r="E259" s="248"/>
      <c r="F259" s="248"/>
      <c r="G259" s="248"/>
      <c r="H259" s="248"/>
    </row>
    <row r="260" spans="1:10" ht="18" customHeight="1" x14ac:dyDescent="0.2"/>
    <row r="261" spans="1:10" ht="18" customHeight="1" thickBot="1" x14ac:dyDescent="0.25">
      <c r="A261" s="16"/>
      <c r="B261" s="247" t="s">
        <v>426</v>
      </c>
      <c r="C261" s="247"/>
      <c r="D261" s="247"/>
      <c r="E261" s="148"/>
      <c r="F261" s="148"/>
      <c r="G261" s="256">
        <f>D257</f>
        <v>6970684</v>
      </c>
      <c r="H261" s="256"/>
    </row>
    <row r="262" spans="1:10" ht="18" customHeight="1" thickBot="1" x14ac:dyDescent="0.25">
      <c r="A262" s="16"/>
      <c r="B262" s="247" t="s">
        <v>427</v>
      </c>
      <c r="C262" s="247"/>
      <c r="D262" s="257"/>
      <c r="E262" s="16"/>
      <c r="F262" s="16"/>
      <c r="G262" s="258">
        <v>-0.12</v>
      </c>
      <c r="H262" s="259"/>
    </row>
    <row r="263" spans="1:10" ht="18" customHeight="1" thickBot="1" x14ac:dyDescent="0.25">
      <c r="A263" s="16"/>
      <c r="B263" s="247" t="s">
        <v>428</v>
      </c>
      <c r="C263" s="247"/>
      <c r="D263" s="247"/>
      <c r="E263" s="149"/>
      <c r="F263" s="149"/>
      <c r="G263" s="260">
        <f>+G261*G262</f>
        <v>-836482.08</v>
      </c>
      <c r="H263" s="260"/>
    </row>
    <row r="264" spans="1:10" ht="18" customHeight="1" thickBot="1" x14ac:dyDescent="0.25">
      <c r="A264" s="16"/>
      <c r="B264" s="17"/>
      <c r="C264" s="18"/>
      <c r="D264" s="18"/>
      <c r="E264" s="18"/>
      <c r="F264" s="18"/>
      <c r="J264" s="84"/>
    </row>
    <row r="265" spans="1:10" ht="18" customHeight="1" x14ac:dyDescent="0.2">
      <c r="A265" s="16"/>
      <c r="B265" s="247" t="s">
        <v>429</v>
      </c>
      <c r="C265" s="247"/>
      <c r="D265" s="247"/>
      <c r="E265" s="150"/>
      <c r="F265" s="150"/>
      <c r="G265" s="261">
        <f>+G261+G263</f>
        <v>6134201.9199999999</v>
      </c>
      <c r="H265" s="261"/>
    </row>
    <row r="266" spans="1:10" ht="18" customHeight="1" x14ac:dyDescent="0.2">
      <c r="B266" s="247" t="s">
        <v>430</v>
      </c>
      <c r="C266" s="247"/>
      <c r="D266" s="247"/>
      <c r="E266" s="85"/>
      <c r="F266" s="85"/>
      <c r="G266" s="249">
        <f>+G265*0.2</f>
        <v>1226840.3840000001</v>
      </c>
      <c r="H266" s="249"/>
    </row>
    <row r="267" spans="1:10" ht="18" customHeight="1" x14ac:dyDescent="0.2">
      <c r="B267" s="247" t="s">
        <v>431</v>
      </c>
      <c r="C267" s="247"/>
      <c r="D267" s="247"/>
      <c r="E267" s="85"/>
      <c r="F267" s="85"/>
      <c r="G267" s="249">
        <f>+G265+G266</f>
        <v>7361042.3039999995</v>
      </c>
      <c r="H267" s="249"/>
      <c r="I267" s="8"/>
    </row>
    <row r="268" spans="1:10" s="1" customFormat="1" ht="37.15" customHeight="1" x14ac:dyDescent="0.35">
      <c r="A268" s="244" t="s">
        <v>455</v>
      </c>
      <c r="B268" s="244"/>
      <c r="C268" s="244"/>
      <c r="D268" s="244"/>
      <c r="E268" s="244"/>
      <c r="F268" s="244"/>
      <c r="G268" s="244"/>
      <c r="H268" s="244"/>
      <c r="I268" s="9"/>
    </row>
    <row r="269" spans="1:10" ht="18" customHeight="1" x14ac:dyDescent="0.2">
      <c r="A269" s="5"/>
      <c r="C269" s="5"/>
      <c r="G269" s="12"/>
    </row>
    <row r="270" spans="1:10" ht="18" customHeight="1" x14ac:dyDescent="0.2">
      <c r="A270" s="5"/>
      <c r="C270" s="5"/>
      <c r="G270" s="12"/>
    </row>
  </sheetData>
  <mergeCells count="43">
    <mergeCell ref="B262:D262"/>
    <mergeCell ref="G262:H262"/>
    <mergeCell ref="A259:C259"/>
    <mergeCell ref="D259:H259"/>
    <mergeCell ref="B267:D267"/>
    <mergeCell ref="B263:D263"/>
    <mergeCell ref="G263:H263"/>
    <mergeCell ref="B265:D265"/>
    <mergeCell ref="G265:H265"/>
    <mergeCell ref="B266:D266"/>
    <mergeCell ref="G266:H266"/>
    <mergeCell ref="A231:G231"/>
    <mergeCell ref="A238:G238"/>
    <mergeCell ref="A248:G248"/>
    <mergeCell ref="A255:G255"/>
    <mergeCell ref="B261:D261"/>
    <mergeCell ref="G261:H261"/>
    <mergeCell ref="A119:G119"/>
    <mergeCell ref="A125:G125"/>
    <mergeCell ref="A132:G132"/>
    <mergeCell ref="A133:G133"/>
    <mergeCell ref="A173:G173"/>
    <mergeCell ref="A79:G79"/>
    <mergeCell ref="A80:G80"/>
    <mergeCell ref="A91:G91"/>
    <mergeCell ref="A107:G107"/>
    <mergeCell ref="A115:G115"/>
    <mergeCell ref="A268:H268"/>
    <mergeCell ref="A1:H2"/>
    <mergeCell ref="A3:H3"/>
    <mergeCell ref="A257:C257"/>
    <mergeCell ref="D257:H257"/>
    <mergeCell ref="A258:C258"/>
    <mergeCell ref="D258:H258"/>
    <mergeCell ref="G267:H267"/>
    <mergeCell ref="A12:G12"/>
    <mergeCell ref="A18:G18"/>
    <mergeCell ref="A23:G23"/>
    <mergeCell ref="A27:G27"/>
    <mergeCell ref="A42:G42"/>
    <mergeCell ref="A53:G53"/>
    <mergeCell ref="A61:G61"/>
    <mergeCell ref="A68:G68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C1478"/>
  <sheetViews>
    <sheetView view="pageBreakPreview" topLeftCell="A835" zoomScaleNormal="98" zoomScaleSheetLayoutView="100" workbookViewId="0">
      <selection activeCell="J848" sqref="J848"/>
    </sheetView>
  </sheetViews>
  <sheetFormatPr baseColWidth="10" defaultColWidth="9" defaultRowHeight="13.15" customHeight="1" x14ac:dyDescent="0.2"/>
  <cols>
    <col min="1" max="1" width="7.42578125" style="4" customWidth="1"/>
    <col min="2" max="2" width="48.140625" style="5" customWidth="1"/>
    <col min="3" max="3" width="4" style="6" customWidth="1"/>
    <col min="4" max="4" width="2.42578125" style="6" customWidth="1"/>
    <col min="5" max="5" width="7.42578125" style="96" customWidth="1"/>
    <col min="6" max="7" width="5.7109375" style="96" customWidth="1"/>
    <col min="8" max="9" width="8.7109375" style="96" customWidth="1"/>
    <col min="10" max="10" width="9.7109375" style="96" customWidth="1"/>
    <col min="11" max="11" width="11.7109375" style="169" customWidth="1"/>
    <col min="12" max="12" width="10.28515625" style="169" customWidth="1"/>
    <col min="13" max="13" width="17.85546875" style="171" customWidth="1"/>
    <col min="14" max="14" width="13.7109375" style="5" customWidth="1"/>
    <col min="15" max="15" width="18.140625" style="5" customWidth="1"/>
    <col min="16" max="263" width="11.42578125" style="5" customWidth="1"/>
    <col min="264" max="16384" width="9" style="80"/>
  </cols>
  <sheetData>
    <row r="1" spans="1:15" ht="24" customHeight="1" x14ac:dyDescent="0.2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5" s="3" customFormat="1" ht="29.25" customHeight="1" x14ac:dyDescent="0.2">
      <c r="A2" s="19" t="s">
        <v>75</v>
      </c>
      <c r="B2" s="20" t="s">
        <v>2</v>
      </c>
      <c r="C2" s="20" t="s">
        <v>3</v>
      </c>
      <c r="D2" s="20" t="s">
        <v>421</v>
      </c>
      <c r="E2" s="87" t="s">
        <v>457</v>
      </c>
      <c r="F2" s="87" t="s">
        <v>458</v>
      </c>
      <c r="G2" s="87" t="s">
        <v>459</v>
      </c>
      <c r="H2" s="87" t="s">
        <v>460</v>
      </c>
      <c r="I2" s="87"/>
      <c r="J2" s="87"/>
      <c r="K2" s="152" t="s">
        <v>456</v>
      </c>
      <c r="L2" s="153" t="s">
        <v>83</v>
      </c>
      <c r="M2" s="154" t="s">
        <v>34</v>
      </c>
    </row>
    <row r="3" spans="1:15" ht="18" customHeight="1" x14ac:dyDescent="0.2">
      <c r="A3" s="24"/>
      <c r="B3" s="25" t="s">
        <v>140</v>
      </c>
      <c r="C3" s="26"/>
      <c r="D3" s="26"/>
      <c r="E3" s="88"/>
      <c r="F3" s="88"/>
      <c r="G3" s="88"/>
      <c r="H3" s="88"/>
      <c r="I3" s="88"/>
      <c r="J3" s="88"/>
      <c r="K3" s="155"/>
      <c r="L3" s="155"/>
      <c r="M3" s="156"/>
    </row>
    <row r="4" spans="1:15" ht="18" customHeight="1" x14ac:dyDescent="0.2">
      <c r="A4" s="30"/>
      <c r="B4" s="31" t="s">
        <v>498</v>
      </c>
      <c r="C4" s="32"/>
      <c r="D4" s="32"/>
      <c r="E4" s="89"/>
      <c r="F4" s="89"/>
      <c r="G4" s="89"/>
      <c r="H4" s="89"/>
      <c r="I4" s="89"/>
      <c r="J4" s="89"/>
      <c r="K4" s="157"/>
      <c r="L4" s="157"/>
      <c r="M4" s="158"/>
      <c r="N4" s="13"/>
    </row>
    <row r="5" spans="1:15" s="5" customFormat="1" ht="18" customHeight="1" x14ac:dyDescent="0.2">
      <c r="A5" s="30" t="s">
        <v>142</v>
      </c>
      <c r="B5" s="36" t="s">
        <v>499</v>
      </c>
      <c r="C5" s="32" t="s">
        <v>500</v>
      </c>
      <c r="D5" s="32">
        <v>1</v>
      </c>
      <c r="E5" s="89"/>
      <c r="F5" s="89"/>
      <c r="G5" s="89"/>
      <c r="H5" s="89">
        <f>PRODUCT(D5:G5)</f>
        <v>1</v>
      </c>
      <c r="I5" s="89">
        <f>H5</f>
        <v>1</v>
      </c>
      <c r="J5" s="89">
        <f>I5</f>
        <v>1</v>
      </c>
      <c r="K5" s="157">
        <v>1</v>
      </c>
      <c r="L5" s="157">
        <v>20000</v>
      </c>
      <c r="M5" s="158">
        <f>+L5*K5</f>
        <v>20000</v>
      </c>
      <c r="O5" s="82">
        <f>K5-J5</f>
        <v>0</v>
      </c>
    </row>
    <row r="6" spans="1:15" ht="18" customHeight="1" x14ac:dyDescent="0.2">
      <c r="A6" s="30"/>
      <c r="B6" s="31"/>
      <c r="C6" s="32"/>
      <c r="D6" s="32"/>
      <c r="E6" s="89"/>
      <c r="F6" s="89"/>
      <c r="G6" s="89"/>
      <c r="H6" s="89"/>
      <c r="I6" s="89"/>
      <c r="J6" s="89"/>
      <c r="K6" s="157"/>
      <c r="L6" s="157"/>
      <c r="M6" s="158"/>
      <c r="N6" s="13"/>
      <c r="O6" s="82">
        <f t="shared" ref="O6:O69" si="0">K6-J6</f>
        <v>0</v>
      </c>
    </row>
    <row r="7" spans="1:15" s="5" customFormat="1" ht="18" customHeight="1" x14ac:dyDescent="0.2">
      <c r="A7" s="30" t="s">
        <v>142</v>
      </c>
      <c r="B7" s="36" t="s">
        <v>349</v>
      </c>
      <c r="C7" s="32" t="s">
        <v>4</v>
      </c>
      <c r="D7" s="32">
        <v>1</v>
      </c>
      <c r="E7" s="89">
        <f>9.8+1+1</f>
        <v>11.8</v>
      </c>
      <c r="F7" s="89">
        <f>21.4+1+1</f>
        <v>23.4</v>
      </c>
      <c r="G7" s="89"/>
      <c r="H7" s="89">
        <f>PRODUCT(D7:G7)</f>
        <v>276.12</v>
      </c>
      <c r="I7" s="89"/>
      <c r="J7" s="89"/>
      <c r="K7" s="157">
        <v>565</v>
      </c>
      <c r="L7" s="157">
        <v>20</v>
      </c>
      <c r="M7" s="158">
        <f>+L7*K7</f>
        <v>11300</v>
      </c>
      <c r="O7" s="82">
        <f t="shared" si="0"/>
        <v>565</v>
      </c>
    </row>
    <row r="8" spans="1:15" s="5" customFormat="1" ht="28.5" customHeight="1" x14ac:dyDescent="0.2">
      <c r="A8" s="30" t="s">
        <v>143</v>
      </c>
      <c r="B8" s="36" t="s">
        <v>312</v>
      </c>
      <c r="C8" s="32" t="s">
        <v>5</v>
      </c>
      <c r="D8" s="32"/>
      <c r="E8" s="89"/>
      <c r="F8" s="89"/>
      <c r="G8" s="89"/>
      <c r="H8" s="89"/>
      <c r="I8" s="89"/>
      <c r="J8" s="89"/>
      <c r="K8" s="157">
        <v>80</v>
      </c>
      <c r="L8" s="157">
        <v>30</v>
      </c>
      <c r="M8" s="158">
        <f>+L8*K8</f>
        <v>2400</v>
      </c>
      <c r="O8" s="82">
        <f t="shared" si="0"/>
        <v>80</v>
      </c>
    </row>
    <row r="9" spans="1:15" s="5" customFormat="1" ht="28.5" customHeight="1" x14ac:dyDescent="0.2">
      <c r="A9" s="30" t="s">
        <v>144</v>
      </c>
      <c r="B9" s="36" t="s">
        <v>254</v>
      </c>
      <c r="C9" s="32" t="s">
        <v>5</v>
      </c>
      <c r="D9" s="32"/>
      <c r="E9" s="89"/>
      <c r="F9" s="89"/>
      <c r="G9" s="89"/>
      <c r="H9" s="89"/>
      <c r="I9" s="89"/>
      <c r="J9" s="89">
        <f>SUM(I10:I41)</f>
        <v>257.42400000000004</v>
      </c>
      <c r="K9" s="157">
        <v>260</v>
      </c>
      <c r="L9" s="157">
        <v>50</v>
      </c>
      <c r="M9" s="158">
        <f>+L9*K9</f>
        <v>13000</v>
      </c>
      <c r="O9" s="82">
        <f t="shared" si="0"/>
        <v>2.575999999999965</v>
      </c>
    </row>
    <row r="10" spans="1:15" s="5" customFormat="1" ht="16.149999999999999" customHeight="1" x14ac:dyDescent="0.2">
      <c r="A10" s="30"/>
      <c r="B10" s="98" t="s">
        <v>464</v>
      </c>
      <c r="C10" s="32"/>
      <c r="D10" s="32"/>
      <c r="E10" s="89"/>
      <c r="F10" s="89"/>
      <c r="G10" s="89"/>
      <c r="H10" s="89"/>
      <c r="I10" s="89"/>
      <c r="K10" s="157"/>
      <c r="L10" s="157"/>
      <c r="M10" s="158"/>
      <c r="O10" s="82">
        <f t="shared" si="0"/>
        <v>0</v>
      </c>
    </row>
    <row r="11" spans="1:15" s="5" customFormat="1" ht="16.149999999999999" customHeight="1" x14ac:dyDescent="0.2">
      <c r="A11" s="30"/>
      <c r="B11" s="36" t="s">
        <v>461</v>
      </c>
      <c r="C11" s="32"/>
      <c r="D11" s="32">
        <v>2</v>
      </c>
      <c r="E11" s="89">
        <v>9.8000000000000007</v>
      </c>
      <c r="F11" s="89">
        <v>0.6</v>
      </c>
      <c r="G11" s="89">
        <v>1.3</v>
      </c>
      <c r="H11" s="89">
        <f>PRODUCT(D11:G11)</f>
        <v>15.288</v>
      </c>
      <c r="I11" s="89"/>
      <c r="J11" s="89"/>
      <c r="K11" s="157"/>
      <c r="L11" s="157"/>
      <c r="M11" s="158"/>
      <c r="O11" s="82">
        <f t="shared" si="0"/>
        <v>0</v>
      </c>
    </row>
    <row r="12" spans="1:15" s="5" customFormat="1" ht="16.149999999999999" customHeight="1" x14ac:dyDescent="0.2">
      <c r="A12" s="30"/>
      <c r="B12" s="36"/>
      <c r="C12" s="32"/>
      <c r="D12" s="32">
        <v>2</v>
      </c>
      <c r="E12" s="89">
        <f>21.4-0.5*2</f>
        <v>20.399999999999999</v>
      </c>
      <c r="F12" s="89">
        <v>0.6</v>
      </c>
      <c r="G12" s="89">
        <v>1.3</v>
      </c>
      <c r="H12" s="89">
        <f t="shared" ref="H12:H39" si="1">PRODUCT(D12:G12)</f>
        <v>31.823999999999998</v>
      </c>
      <c r="I12" s="89"/>
      <c r="J12" s="89"/>
      <c r="K12" s="157"/>
      <c r="L12" s="157"/>
      <c r="M12" s="158"/>
      <c r="O12" s="82">
        <f t="shared" si="0"/>
        <v>0</v>
      </c>
    </row>
    <row r="13" spans="1:15" s="5" customFormat="1" ht="16.149999999999999" customHeight="1" x14ac:dyDescent="0.2">
      <c r="A13" s="30"/>
      <c r="B13" s="36" t="s">
        <v>462</v>
      </c>
      <c r="C13" s="32"/>
      <c r="D13" s="32">
        <v>2</v>
      </c>
      <c r="E13" s="89">
        <f>1.2+0.2</f>
        <v>1.4</v>
      </c>
      <c r="F13" s="89">
        <f>2+0.2</f>
        <v>2.2000000000000002</v>
      </c>
      <c r="G13" s="89">
        <v>1.3</v>
      </c>
      <c r="H13" s="89">
        <f t="shared" si="1"/>
        <v>8.0080000000000009</v>
      </c>
      <c r="I13" s="89"/>
      <c r="J13" s="89"/>
      <c r="K13" s="157"/>
      <c r="L13" s="157"/>
      <c r="M13" s="158"/>
      <c r="O13" s="82">
        <f t="shared" si="0"/>
        <v>0</v>
      </c>
    </row>
    <row r="14" spans="1:15" s="5" customFormat="1" ht="16.149999999999999" customHeight="1" x14ac:dyDescent="0.2">
      <c r="A14" s="30"/>
      <c r="B14" s="36"/>
      <c r="C14" s="32"/>
      <c r="D14" s="32">
        <v>15</v>
      </c>
      <c r="E14" s="89">
        <f>1.2+0.2</f>
        <v>1.4</v>
      </c>
      <c r="F14" s="89">
        <f>1.2+0.2</f>
        <v>1.4</v>
      </c>
      <c r="G14" s="89">
        <v>1.3</v>
      </c>
      <c r="H14" s="89">
        <f t="shared" si="1"/>
        <v>38.22</v>
      </c>
      <c r="I14" s="89"/>
      <c r="J14" s="89"/>
      <c r="K14" s="157"/>
      <c r="L14" s="157"/>
      <c r="M14" s="158"/>
      <c r="O14" s="82">
        <f t="shared" si="0"/>
        <v>0</v>
      </c>
    </row>
    <row r="15" spans="1:15" s="5" customFormat="1" ht="16.149999999999999" customHeight="1" x14ac:dyDescent="0.2">
      <c r="A15" s="30"/>
      <c r="B15" s="36" t="s">
        <v>463</v>
      </c>
      <c r="C15" s="32"/>
      <c r="D15" s="32">
        <v>1</v>
      </c>
      <c r="E15" s="89">
        <f>21.4-0.25*4</f>
        <v>20.399999999999999</v>
      </c>
      <c r="F15" s="89">
        <v>0.4</v>
      </c>
      <c r="G15" s="89">
        <v>0.5</v>
      </c>
      <c r="H15" s="89">
        <f t="shared" si="1"/>
        <v>4.08</v>
      </c>
      <c r="I15" s="89"/>
      <c r="J15" s="89"/>
      <c r="K15" s="157"/>
      <c r="L15" s="157"/>
      <c r="M15" s="158"/>
      <c r="O15" s="82">
        <f t="shared" si="0"/>
        <v>0</v>
      </c>
    </row>
    <row r="16" spans="1:15" s="5" customFormat="1" ht="16.149999999999999" customHeight="1" x14ac:dyDescent="0.2">
      <c r="A16" s="30"/>
      <c r="B16" s="36"/>
      <c r="C16" s="32"/>
      <c r="D16" s="32">
        <v>1</v>
      </c>
      <c r="E16" s="89">
        <f>17.8-0.25*3</f>
        <v>17.05</v>
      </c>
      <c r="F16" s="89">
        <v>0.4</v>
      </c>
      <c r="G16" s="89">
        <v>0.5</v>
      </c>
      <c r="H16" s="89">
        <f t="shared" si="1"/>
        <v>3.41</v>
      </c>
      <c r="I16" s="89"/>
      <c r="J16" s="89"/>
      <c r="K16" s="157"/>
      <c r="L16" s="157"/>
      <c r="M16" s="158"/>
      <c r="O16" s="82">
        <f t="shared" si="0"/>
        <v>0</v>
      </c>
    </row>
    <row r="17" spans="1:15" s="5" customFormat="1" ht="16.149999999999999" customHeight="1" x14ac:dyDescent="0.2">
      <c r="A17" s="30"/>
      <c r="B17" s="36"/>
      <c r="C17" s="32"/>
      <c r="D17" s="32">
        <v>1</v>
      </c>
      <c r="E17" s="89">
        <f>9.8-0.25*3</f>
        <v>9.0500000000000007</v>
      </c>
      <c r="F17" s="89">
        <v>0.4</v>
      </c>
      <c r="G17" s="89">
        <v>0.5</v>
      </c>
      <c r="H17" s="89">
        <f t="shared" si="1"/>
        <v>1.8100000000000003</v>
      </c>
      <c r="I17" s="89"/>
      <c r="J17" s="89"/>
      <c r="K17" s="157"/>
      <c r="L17" s="157"/>
      <c r="M17" s="158"/>
      <c r="O17" s="82">
        <f t="shared" si="0"/>
        <v>0</v>
      </c>
    </row>
    <row r="18" spans="1:15" s="5" customFormat="1" ht="16.149999999999999" customHeight="1" x14ac:dyDescent="0.2">
      <c r="A18" s="30"/>
      <c r="B18" s="36"/>
      <c r="C18" s="32"/>
      <c r="D18" s="32"/>
      <c r="E18" s="89"/>
      <c r="F18" s="89"/>
      <c r="G18" s="89"/>
      <c r="H18" s="89">
        <f t="shared" si="1"/>
        <v>0</v>
      </c>
      <c r="I18" s="89">
        <f>SUM(H11:H17)</f>
        <v>102.64</v>
      </c>
      <c r="J18" s="89"/>
      <c r="K18" s="157"/>
      <c r="L18" s="157"/>
      <c r="M18" s="158"/>
      <c r="O18" s="82">
        <f t="shared" si="0"/>
        <v>0</v>
      </c>
    </row>
    <row r="19" spans="1:15" s="5" customFormat="1" ht="16.149999999999999" customHeight="1" x14ac:dyDescent="0.2">
      <c r="A19" s="30"/>
      <c r="B19" s="98" t="s">
        <v>465</v>
      </c>
      <c r="C19" s="32"/>
      <c r="D19" s="32"/>
      <c r="E19" s="89"/>
      <c r="F19" s="89"/>
      <c r="G19" s="89"/>
      <c r="H19" s="89">
        <f t="shared" si="1"/>
        <v>0</v>
      </c>
      <c r="I19" s="89"/>
      <c r="J19" s="89"/>
      <c r="K19" s="157"/>
      <c r="L19" s="157"/>
      <c r="M19" s="158"/>
      <c r="O19" s="82">
        <f t="shared" si="0"/>
        <v>0</v>
      </c>
    </row>
    <row r="20" spans="1:15" s="5" customFormat="1" ht="16.149999999999999" customHeight="1" x14ac:dyDescent="0.2">
      <c r="A20" s="30"/>
      <c r="B20" s="36" t="s">
        <v>461</v>
      </c>
      <c r="C20" s="32"/>
      <c r="D20" s="32">
        <v>2</v>
      </c>
      <c r="E20" s="89">
        <f>12.7+0.1*2</f>
        <v>12.899999999999999</v>
      </c>
      <c r="F20" s="89">
        <v>0.6</v>
      </c>
      <c r="G20" s="89">
        <v>1.3</v>
      </c>
      <c r="H20" s="89">
        <f t="shared" si="1"/>
        <v>20.123999999999995</v>
      </c>
      <c r="I20" s="89"/>
      <c r="J20" s="89"/>
      <c r="K20" s="157"/>
      <c r="L20" s="157"/>
      <c r="M20" s="158"/>
      <c r="O20" s="82">
        <f t="shared" si="0"/>
        <v>0</v>
      </c>
    </row>
    <row r="21" spans="1:15" s="5" customFormat="1" ht="16.149999999999999" customHeight="1" x14ac:dyDescent="0.2">
      <c r="A21" s="30"/>
      <c r="B21" s="36"/>
      <c r="C21" s="32"/>
      <c r="D21" s="32">
        <v>2</v>
      </c>
      <c r="E21" s="89">
        <f>10.8-0.5*2</f>
        <v>9.8000000000000007</v>
      </c>
      <c r="F21" s="89">
        <v>0.6</v>
      </c>
      <c r="G21" s="89">
        <v>1.3</v>
      </c>
      <c r="H21" s="89">
        <f t="shared" si="1"/>
        <v>15.288</v>
      </c>
      <c r="I21" s="89"/>
      <c r="J21" s="89"/>
      <c r="K21" s="157"/>
      <c r="L21" s="157"/>
      <c r="M21" s="158"/>
      <c r="O21" s="82">
        <f t="shared" si="0"/>
        <v>0</v>
      </c>
    </row>
    <row r="22" spans="1:15" s="5" customFormat="1" ht="16.149999999999999" customHeight="1" x14ac:dyDescent="0.2">
      <c r="A22" s="30"/>
      <c r="B22" s="36" t="s">
        <v>462</v>
      </c>
      <c r="C22" s="32"/>
      <c r="D22" s="32">
        <v>15</v>
      </c>
      <c r="E22" s="89">
        <f>1.2+0.2</f>
        <v>1.4</v>
      </c>
      <c r="F22" s="89">
        <f>1.2+0.2</f>
        <v>1.4</v>
      </c>
      <c r="G22" s="89">
        <v>1.3</v>
      </c>
      <c r="H22" s="89">
        <f t="shared" si="1"/>
        <v>38.22</v>
      </c>
      <c r="I22" s="89"/>
      <c r="J22" s="89"/>
      <c r="K22" s="157"/>
      <c r="L22" s="157"/>
      <c r="M22" s="158"/>
      <c r="O22" s="82">
        <f t="shared" si="0"/>
        <v>0</v>
      </c>
    </row>
    <row r="23" spans="1:15" s="5" customFormat="1" ht="16.149999999999999" customHeight="1" x14ac:dyDescent="0.2">
      <c r="A23" s="30"/>
      <c r="B23" s="36" t="s">
        <v>463</v>
      </c>
      <c r="C23" s="32"/>
      <c r="D23" s="32">
        <v>1</v>
      </c>
      <c r="E23" s="89">
        <f>5.3+0.1+0.1+4.4+0.1-0.25*3</f>
        <v>9.2499999999999982</v>
      </c>
      <c r="F23" s="89">
        <v>0.4</v>
      </c>
      <c r="G23" s="89">
        <v>0.5</v>
      </c>
      <c r="H23" s="89">
        <f t="shared" si="1"/>
        <v>1.8499999999999996</v>
      </c>
      <c r="I23" s="89"/>
      <c r="J23" s="89"/>
      <c r="K23" s="157"/>
      <c r="L23" s="157"/>
      <c r="M23" s="158"/>
      <c r="O23" s="82">
        <f t="shared" si="0"/>
        <v>0</v>
      </c>
    </row>
    <row r="24" spans="1:15" s="5" customFormat="1" ht="16.149999999999999" customHeight="1" x14ac:dyDescent="0.2">
      <c r="A24" s="30"/>
      <c r="B24" s="36"/>
      <c r="C24" s="32"/>
      <c r="D24" s="32">
        <v>1</v>
      </c>
      <c r="E24" s="89">
        <f>12.3-0.25*4</f>
        <v>11.3</v>
      </c>
      <c r="F24" s="89">
        <v>0.4</v>
      </c>
      <c r="G24" s="89">
        <v>0.5</v>
      </c>
      <c r="H24" s="89">
        <f t="shared" si="1"/>
        <v>2.2600000000000002</v>
      </c>
      <c r="I24" s="89"/>
      <c r="J24" s="89"/>
      <c r="K24" s="157"/>
      <c r="L24" s="157"/>
      <c r="M24" s="158"/>
      <c r="O24" s="82">
        <f t="shared" si="0"/>
        <v>0</v>
      </c>
    </row>
    <row r="25" spans="1:15" s="5" customFormat="1" ht="16.149999999999999" customHeight="1" x14ac:dyDescent="0.2">
      <c r="A25" s="30"/>
      <c r="B25" s="36"/>
      <c r="C25" s="32"/>
      <c r="D25" s="32">
        <v>1</v>
      </c>
      <c r="E25" s="89">
        <f>9.8-0.25*3</f>
        <v>9.0500000000000007</v>
      </c>
      <c r="F25" s="89">
        <v>0.4</v>
      </c>
      <c r="G25" s="89">
        <v>0.5</v>
      </c>
      <c r="H25" s="89">
        <f t="shared" si="1"/>
        <v>1.8100000000000003</v>
      </c>
      <c r="I25" s="89"/>
      <c r="J25" s="89"/>
      <c r="K25" s="157"/>
      <c r="L25" s="157"/>
      <c r="M25" s="158"/>
      <c r="O25" s="82">
        <f t="shared" si="0"/>
        <v>0</v>
      </c>
    </row>
    <row r="26" spans="1:15" s="5" customFormat="1" ht="16.149999999999999" customHeight="1" x14ac:dyDescent="0.2">
      <c r="A26" s="30"/>
      <c r="B26" s="36"/>
      <c r="C26" s="32"/>
      <c r="D26" s="32">
        <v>1</v>
      </c>
      <c r="E26" s="89">
        <f>7.5-0.25*2</f>
        <v>7</v>
      </c>
      <c r="F26" s="89">
        <v>0.4</v>
      </c>
      <c r="G26" s="89">
        <v>0.5</v>
      </c>
      <c r="H26" s="89">
        <f t="shared" si="1"/>
        <v>1.4000000000000001</v>
      </c>
      <c r="I26" s="89"/>
      <c r="J26" s="89"/>
      <c r="K26" s="157"/>
      <c r="L26" s="157"/>
      <c r="M26" s="158"/>
      <c r="O26" s="82">
        <f t="shared" si="0"/>
        <v>0</v>
      </c>
    </row>
    <row r="27" spans="1:15" s="5" customFormat="1" ht="16.149999999999999" customHeight="1" x14ac:dyDescent="0.2">
      <c r="A27" s="30"/>
      <c r="B27" s="36"/>
      <c r="C27" s="32"/>
      <c r="D27" s="32">
        <v>1</v>
      </c>
      <c r="E27" s="89">
        <f>3.6+2.7+0.1+3+0.2-0.25*4</f>
        <v>8.6</v>
      </c>
      <c r="F27" s="89">
        <v>0.4</v>
      </c>
      <c r="G27" s="89">
        <v>0.5</v>
      </c>
      <c r="H27" s="89">
        <f t="shared" si="1"/>
        <v>1.72</v>
      </c>
      <c r="I27" s="89"/>
      <c r="J27" s="89"/>
      <c r="K27" s="157"/>
      <c r="L27" s="157"/>
      <c r="M27" s="158"/>
      <c r="O27" s="82">
        <f t="shared" si="0"/>
        <v>0</v>
      </c>
    </row>
    <row r="28" spans="1:15" s="5" customFormat="1" ht="16.149999999999999" customHeight="1" x14ac:dyDescent="0.2">
      <c r="A28" s="30"/>
      <c r="B28" s="36"/>
      <c r="C28" s="32"/>
      <c r="D28" s="32"/>
      <c r="E28" s="89"/>
      <c r="F28" s="89"/>
      <c r="G28" s="89"/>
      <c r="H28" s="89">
        <f t="shared" si="1"/>
        <v>0</v>
      </c>
      <c r="I28" s="89">
        <f>SUM(H20:H27)</f>
        <v>82.671999999999997</v>
      </c>
      <c r="J28" s="89"/>
      <c r="K28" s="157"/>
      <c r="L28" s="157"/>
      <c r="M28" s="158"/>
      <c r="O28" s="82">
        <f t="shared" si="0"/>
        <v>0</v>
      </c>
    </row>
    <row r="29" spans="1:15" s="5" customFormat="1" ht="16.149999999999999" customHeight="1" x14ac:dyDescent="0.2">
      <c r="A29" s="30"/>
      <c r="B29" s="98" t="s">
        <v>466</v>
      </c>
      <c r="C29" s="32"/>
      <c r="D29" s="32"/>
      <c r="E29" s="89"/>
      <c r="F29" s="89"/>
      <c r="G29" s="89"/>
      <c r="H29" s="89">
        <f t="shared" si="1"/>
        <v>0</v>
      </c>
      <c r="I29" s="89"/>
      <c r="J29" s="89"/>
      <c r="K29" s="157"/>
      <c r="L29" s="157"/>
      <c r="M29" s="158"/>
      <c r="O29" s="82">
        <f t="shared" si="0"/>
        <v>0</v>
      </c>
    </row>
    <row r="30" spans="1:15" s="5" customFormat="1" ht="16.149999999999999" customHeight="1" x14ac:dyDescent="0.2">
      <c r="A30" s="30"/>
      <c r="B30" s="36" t="s">
        <v>461</v>
      </c>
      <c r="C30" s="32"/>
      <c r="D30" s="32">
        <v>2</v>
      </c>
      <c r="E30" s="89">
        <f>8.8+0.1*2</f>
        <v>9</v>
      </c>
      <c r="F30" s="89">
        <v>0.6</v>
      </c>
      <c r="G30" s="89">
        <v>1.3</v>
      </c>
      <c r="H30" s="89">
        <f t="shared" si="1"/>
        <v>14.04</v>
      </c>
      <c r="I30" s="89"/>
      <c r="J30" s="89"/>
      <c r="K30" s="157"/>
      <c r="L30" s="157"/>
      <c r="M30" s="158"/>
      <c r="O30" s="82">
        <f t="shared" si="0"/>
        <v>0</v>
      </c>
    </row>
    <row r="31" spans="1:15" s="5" customFormat="1" ht="16.149999999999999" customHeight="1" x14ac:dyDescent="0.2">
      <c r="A31" s="30"/>
      <c r="B31" s="36"/>
      <c r="C31" s="32"/>
      <c r="D31" s="32">
        <v>2</v>
      </c>
      <c r="E31" s="89">
        <f>9.8-0.5*2</f>
        <v>8.8000000000000007</v>
      </c>
      <c r="F31" s="89">
        <v>0.6</v>
      </c>
      <c r="G31" s="89">
        <v>1.3</v>
      </c>
      <c r="H31" s="89">
        <f t="shared" si="1"/>
        <v>13.728000000000002</v>
      </c>
      <c r="I31" s="89"/>
      <c r="J31" s="89"/>
      <c r="K31" s="157"/>
      <c r="L31" s="157"/>
      <c r="M31" s="158"/>
      <c r="O31" s="82">
        <f t="shared" si="0"/>
        <v>0</v>
      </c>
    </row>
    <row r="32" spans="1:15" s="5" customFormat="1" ht="16.149999999999999" customHeight="1" x14ac:dyDescent="0.2">
      <c r="A32" s="30"/>
      <c r="B32" s="36" t="s">
        <v>462</v>
      </c>
      <c r="C32" s="32"/>
      <c r="D32" s="32">
        <v>9</v>
      </c>
      <c r="E32" s="89">
        <f>1.2+0.2</f>
        <v>1.4</v>
      </c>
      <c r="F32" s="89">
        <f>1.2+0.2</f>
        <v>1.4</v>
      </c>
      <c r="G32" s="89">
        <v>1.3</v>
      </c>
      <c r="H32" s="89">
        <f t="shared" si="1"/>
        <v>22.931999999999999</v>
      </c>
      <c r="I32" s="89"/>
      <c r="J32" s="89"/>
      <c r="K32" s="157"/>
      <c r="L32" s="157"/>
      <c r="M32" s="158"/>
      <c r="O32" s="82">
        <f t="shared" si="0"/>
        <v>0</v>
      </c>
    </row>
    <row r="33" spans="1:15" s="5" customFormat="1" ht="16.149999999999999" customHeight="1" x14ac:dyDescent="0.2">
      <c r="A33" s="30"/>
      <c r="B33" s="36" t="s">
        <v>463</v>
      </c>
      <c r="C33" s="32"/>
      <c r="D33" s="32">
        <v>1</v>
      </c>
      <c r="E33" s="89">
        <f>8.8-0.25*3</f>
        <v>8.0500000000000007</v>
      </c>
      <c r="F33" s="89">
        <v>0.4</v>
      </c>
      <c r="G33" s="89">
        <v>0.5</v>
      </c>
      <c r="H33" s="89">
        <f t="shared" si="1"/>
        <v>1.6100000000000003</v>
      </c>
      <c r="I33" s="89"/>
      <c r="J33" s="89"/>
      <c r="K33" s="157"/>
      <c r="L33" s="157"/>
      <c r="M33" s="158"/>
      <c r="O33" s="82">
        <f t="shared" si="0"/>
        <v>0</v>
      </c>
    </row>
    <row r="34" spans="1:15" s="5" customFormat="1" ht="16.149999999999999" customHeight="1" x14ac:dyDescent="0.2">
      <c r="A34" s="30"/>
      <c r="B34" s="36"/>
      <c r="C34" s="32"/>
      <c r="D34" s="32">
        <v>1</v>
      </c>
      <c r="E34" s="89">
        <f>9.8-0.25*3</f>
        <v>9.0500000000000007</v>
      </c>
      <c r="F34" s="89">
        <v>0.4</v>
      </c>
      <c r="G34" s="89">
        <v>0.5</v>
      </c>
      <c r="H34" s="89">
        <f t="shared" si="1"/>
        <v>1.8100000000000003</v>
      </c>
      <c r="I34" s="89"/>
      <c r="J34" s="89"/>
      <c r="K34" s="157"/>
      <c r="L34" s="157"/>
      <c r="M34" s="158"/>
      <c r="O34" s="82">
        <f t="shared" si="0"/>
        <v>0</v>
      </c>
    </row>
    <row r="35" spans="1:15" s="5" customFormat="1" ht="16.149999999999999" customHeight="1" x14ac:dyDescent="0.2">
      <c r="A35" s="30"/>
      <c r="B35" s="36"/>
      <c r="C35" s="32"/>
      <c r="D35" s="32"/>
      <c r="E35" s="89"/>
      <c r="F35" s="89"/>
      <c r="G35" s="89"/>
      <c r="H35" s="89">
        <f t="shared" si="1"/>
        <v>0</v>
      </c>
      <c r="I35" s="89">
        <f>SUM(H30:H34)</f>
        <v>54.120000000000005</v>
      </c>
      <c r="J35" s="89"/>
      <c r="K35" s="157"/>
      <c r="L35" s="157"/>
      <c r="M35" s="158"/>
      <c r="O35" s="82">
        <f t="shared" si="0"/>
        <v>0</v>
      </c>
    </row>
    <row r="36" spans="1:15" s="5" customFormat="1" ht="16.149999999999999" customHeight="1" x14ac:dyDescent="0.2">
      <c r="A36" s="30"/>
      <c r="B36" s="98" t="s">
        <v>467</v>
      </c>
      <c r="C36" s="32"/>
      <c r="D36" s="32"/>
      <c r="E36" s="89"/>
      <c r="F36" s="89"/>
      <c r="G36" s="89"/>
      <c r="H36" s="89">
        <f t="shared" si="1"/>
        <v>0</v>
      </c>
      <c r="I36" s="89"/>
      <c r="J36" s="89"/>
      <c r="K36" s="157"/>
      <c r="L36" s="157"/>
      <c r="M36" s="158"/>
      <c r="O36" s="82">
        <f t="shared" si="0"/>
        <v>0</v>
      </c>
    </row>
    <row r="37" spans="1:15" s="5" customFormat="1" ht="16.149999999999999" customHeight="1" x14ac:dyDescent="0.2">
      <c r="A37" s="30"/>
      <c r="B37" s="36" t="s">
        <v>461</v>
      </c>
      <c r="C37" s="32"/>
      <c r="D37" s="32">
        <v>2</v>
      </c>
      <c r="E37" s="89">
        <f>2.4+0.1*2</f>
        <v>2.6</v>
      </c>
      <c r="F37" s="89">
        <v>0.6</v>
      </c>
      <c r="G37" s="89">
        <v>1.3</v>
      </c>
      <c r="H37" s="89">
        <f t="shared" si="1"/>
        <v>4.056</v>
      </c>
      <c r="I37" s="89"/>
      <c r="J37" s="89"/>
      <c r="K37" s="157"/>
      <c r="L37" s="157"/>
      <c r="M37" s="158"/>
      <c r="O37" s="82">
        <f t="shared" si="0"/>
        <v>0</v>
      </c>
    </row>
    <row r="38" spans="1:15" s="5" customFormat="1" ht="16.149999999999999" customHeight="1" x14ac:dyDescent="0.2">
      <c r="A38" s="30"/>
      <c r="B38" s="36"/>
      <c r="C38" s="32"/>
      <c r="D38" s="32">
        <v>2</v>
      </c>
      <c r="E38" s="89">
        <f>3.4-0.5*2</f>
        <v>2.4</v>
      </c>
      <c r="F38" s="89">
        <v>0.6</v>
      </c>
      <c r="G38" s="89">
        <v>1.3</v>
      </c>
      <c r="H38" s="89">
        <f t="shared" si="1"/>
        <v>3.7439999999999998</v>
      </c>
      <c r="I38" s="89"/>
      <c r="J38" s="89"/>
      <c r="K38" s="157"/>
      <c r="L38" s="157"/>
      <c r="M38" s="158"/>
      <c r="O38" s="82">
        <f t="shared" si="0"/>
        <v>0</v>
      </c>
    </row>
    <row r="39" spans="1:15" s="5" customFormat="1" ht="16.149999999999999" customHeight="1" x14ac:dyDescent="0.2">
      <c r="A39" s="30"/>
      <c r="B39" s="36" t="s">
        <v>462</v>
      </c>
      <c r="C39" s="32"/>
      <c r="D39" s="32">
        <v>4</v>
      </c>
      <c r="E39" s="89">
        <f>1.2+0.2</f>
        <v>1.4</v>
      </c>
      <c r="F39" s="89">
        <f>1.2+0.2</f>
        <v>1.4</v>
      </c>
      <c r="G39" s="89">
        <v>1.3</v>
      </c>
      <c r="H39" s="89">
        <f t="shared" si="1"/>
        <v>10.191999999999998</v>
      </c>
      <c r="I39" s="89"/>
      <c r="J39" s="89"/>
      <c r="K39" s="157"/>
      <c r="L39" s="157"/>
      <c r="M39" s="158"/>
      <c r="O39" s="82">
        <f t="shared" si="0"/>
        <v>0</v>
      </c>
    </row>
    <row r="40" spans="1:15" s="5" customFormat="1" ht="16.149999999999999" customHeight="1" x14ac:dyDescent="0.2">
      <c r="A40" s="30"/>
      <c r="B40" s="36"/>
      <c r="C40" s="32"/>
      <c r="D40" s="32"/>
      <c r="E40" s="89"/>
      <c r="F40" s="89"/>
      <c r="G40" s="89"/>
      <c r="H40" s="89"/>
      <c r="I40" s="89">
        <f>SUM(H37:H39)</f>
        <v>17.991999999999997</v>
      </c>
      <c r="J40" s="89"/>
      <c r="K40" s="157"/>
      <c r="L40" s="157"/>
      <c r="M40" s="158"/>
      <c r="O40" s="82">
        <f t="shared" si="0"/>
        <v>0</v>
      </c>
    </row>
    <row r="41" spans="1:15" s="5" customFormat="1" ht="16.149999999999999" customHeight="1" x14ac:dyDescent="0.2">
      <c r="A41" s="30"/>
      <c r="B41" s="36"/>
      <c r="C41" s="32"/>
      <c r="D41" s="32"/>
      <c r="E41" s="89"/>
      <c r="F41" s="89"/>
      <c r="G41" s="89"/>
      <c r="H41" s="89"/>
      <c r="I41" s="89"/>
      <c r="J41" s="89"/>
      <c r="K41" s="157"/>
      <c r="L41" s="157"/>
      <c r="M41" s="158"/>
      <c r="O41" s="82">
        <f t="shared" si="0"/>
        <v>0</v>
      </c>
    </row>
    <row r="42" spans="1:15" s="5" customFormat="1" ht="18" customHeight="1" x14ac:dyDescent="0.2">
      <c r="A42" s="30" t="s">
        <v>145</v>
      </c>
      <c r="B42" s="36" t="s">
        <v>435</v>
      </c>
      <c r="C42" s="32" t="s">
        <v>5</v>
      </c>
      <c r="D42" s="32"/>
      <c r="E42" s="89"/>
      <c r="F42" s="89"/>
      <c r="G42" s="89"/>
      <c r="H42" s="89"/>
      <c r="I42" s="89"/>
      <c r="J42" s="89"/>
      <c r="K42" s="157">
        <f>+K9+K8</f>
        <v>340</v>
      </c>
      <c r="L42" s="157">
        <v>60</v>
      </c>
      <c r="M42" s="158">
        <f>+L42*K42</f>
        <v>20400</v>
      </c>
      <c r="O42" s="82">
        <f t="shared" si="0"/>
        <v>340</v>
      </c>
    </row>
    <row r="43" spans="1:15" s="5" customFormat="1" ht="18" customHeight="1" x14ac:dyDescent="0.2">
      <c r="A43" s="30"/>
      <c r="B43" s="36"/>
      <c r="C43" s="32"/>
      <c r="D43" s="32"/>
      <c r="E43" s="89"/>
      <c r="F43" s="89"/>
      <c r="G43" s="89"/>
      <c r="H43" s="89"/>
      <c r="I43" s="89"/>
      <c r="J43" s="89"/>
      <c r="K43" s="157"/>
      <c r="L43" s="157"/>
      <c r="M43" s="158"/>
      <c r="O43" s="82">
        <f t="shared" si="0"/>
        <v>0</v>
      </c>
    </row>
    <row r="44" spans="1:15" s="104" customFormat="1" ht="18" customHeight="1" x14ac:dyDescent="0.2">
      <c r="A44" s="99" t="s">
        <v>351</v>
      </c>
      <c r="B44" s="100" t="s">
        <v>350</v>
      </c>
      <c r="C44" s="101" t="s">
        <v>5</v>
      </c>
      <c r="D44" s="101"/>
      <c r="E44" s="102"/>
      <c r="F44" s="102"/>
      <c r="G44" s="102"/>
      <c r="H44" s="102"/>
      <c r="I44" s="102"/>
      <c r="J44" s="102"/>
      <c r="K44" s="157">
        <v>30</v>
      </c>
      <c r="L44" s="157">
        <v>80</v>
      </c>
      <c r="M44" s="158">
        <f>+L44*K44</f>
        <v>2400</v>
      </c>
      <c r="O44" s="82">
        <f t="shared" si="0"/>
        <v>30</v>
      </c>
    </row>
    <row r="45" spans="1:15" ht="18" customHeight="1" x14ac:dyDescent="0.2">
      <c r="A45" s="250" t="s">
        <v>96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2"/>
      <c r="M45" s="159">
        <f>SUM(M3:M44)</f>
        <v>69500</v>
      </c>
      <c r="O45" s="82">
        <f t="shared" si="0"/>
        <v>0</v>
      </c>
    </row>
    <row r="46" spans="1:15" ht="18" customHeight="1" x14ac:dyDescent="0.2">
      <c r="A46" s="24"/>
      <c r="B46" s="25" t="s">
        <v>146</v>
      </c>
      <c r="C46" s="26"/>
      <c r="D46" s="26"/>
      <c r="E46" s="88"/>
      <c r="F46" s="88"/>
      <c r="G46" s="88"/>
      <c r="H46" s="88"/>
      <c r="I46" s="88"/>
      <c r="J46" s="88"/>
      <c r="K46" s="155"/>
      <c r="L46" s="155"/>
      <c r="M46" s="156"/>
      <c r="O46" s="82">
        <f t="shared" si="0"/>
        <v>0</v>
      </c>
    </row>
    <row r="47" spans="1:15" ht="15" customHeight="1" x14ac:dyDescent="0.2">
      <c r="A47" s="30" t="s">
        <v>147</v>
      </c>
      <c r="B47" s="39" t="s">
        <v>6</v>
      </c>
      <c r="C47" s="32" t="s">
        <v>5</v>
      </c>
      <c r="D47" s="32"/>
      <c r="E47" s="89"/>
      <c r="F47" s="89"/>
      <c r="G47" s="89"/>
      <c r="H47" s="89"/>
      <c r="I47" s="89"/>
      <c r="J47" s="89">
        <f>SUM(I49:I79)</f>
        <v>22.48</v>
      </c>
      <c r="K47" s="157">
        <v>81</v>
      </c>
      <c r="L47" s="157">
        <v>600</v>
      </c>
      <c r="M47" s="158">
        <f>+L47*K47</f>
        <v>48600</v>
      </c>
      <c r="O47" s="82">
        <f t="shared" si="0"/>
        <v>58.519999999999996</v>
      </c>
    </row>
    <row r="48" spans="1:15" s="5" customFormat="1" ht="16.149999999999999" customHeight="1" x14ac:dyDescent="0.2">
      <c r="A48" s="30"/>
      <c r="B48" s="98" t="s">
        <v>464</v>
      </c>
      <c r="C48" s="32"/>
      <c r="D48" s="32"/>
      <c r="E48" s="89"/>
      <c r="F48" s="89"/>
      <c r="G48" s="89"/>
      <c r="H48" s="89"/>
      <c r="I48" s="89"/>
      <c r="K48" s="157"/>
      <c r="L48" s="157"/>
      <c r="M48" s="158"/>
      <c r="O48" s="82">
        <f t="shared" si="0"/>
        <v>0</v>
      </c>
    </row>
    <row r="49" spans="1:15" s="5" customFormat="1" ht="16.149999999999999" customHeight="1" x14ac:dyDescent="0.2">
      <c r="A49" s="30"/>
      <c r="B49" s="36" t="s">
        <v>461</v>
      </c>
      <c r="C49" s="32"/>
      <c r="D49" s="32">
        <v>2</v>
      </c>
      <c r="E49" s="89">
        <v>9.8000000000000007</v>
      </c>
      <c r="F49" s="89">
        <v>0.6</v>
      </c>
      <c r="G49" s="89">
        <v>0.1</v>
      </c>
      <c r="H49" s="89">
        <f t="shared" ref="H49:H55" si="2">PRODUCT(D49:G49)</f>
        <v>1.1759999999999999</v>
      </c>
      <c r="I49" s="89"/>
      <c r="J49" s="89"/>
      <c r="K49" s="157"/>
      <c r="L49" s="157"/>
      <c r="M49" s="158"/>
      <c r="O49" s="82">
        <f t="shared" si="0"/>
        <v>0</v>
      </c>
    </row>
    <row r="50" spans="1:15" s="5" customFormat="1" ht="16.149999999999999" customHeight="1" x14ac:dyDescent="0.2">
      <c r="A50" s="30"/>
      <c r="B50" s="36"/>
      <c r="C50" s="32"/>
      <c r="D50" s="32">
        <v>2</v>
      </c>
      <c r="E50" s="89">
        <f>21.4-0.5*2</f>
        <v>20.399999999999999</v>
      </c>
      <c r="F50" s="89">
        <v>0.6</v>
      </c>
      <c r="G50" s="89">
        <v>0.1</v>
      </c>
      <c r="H50" s="89">
        <f t="shared" si="2"/>
        <v>2.448</v>
      </c>
      <c r="I50" s="89"/>
      <c r="J50" s="89"/>
      <c r="K50" s="157"/>
      <c r="L50" s="157"/>
      <c r="M50" s="158"/>
      <c r="O50" s="82">
        <f t="shared" si="0"/>
        <v>0</v>
      </c>
    </row>
    <row r="51" spans="1:15" s="5" customFormat="1" ht="16.149999999999999" customHeight="1" x14ac:dyDescent="0.2">
      <c r="A51" s="30"/>
      <c r="B51" s="36" t="s">
        <v>462</v>
      </c>
      <c r="C51" s="32"/>
      <c r="D51" s="32">
        <v>2</v>
      </c>
      <c r="E51" s="89">
        <f>1.2+0.2</f>
        <v>1.4</v>
      </c>
      <c r="F51" s="89">
        <f>2+0.2</f>
        <v>2.2000000000000002</v>
      </c>
      <c r="G51" s="89">
        <v>0.1</v>
      </c>
      <c r="H51" s="89">
        <f t="shared" si="2"/>
        <v>0.6160000000000001</v>
      </c>
      <c r="I51" s="89"/>
      <c r="J51" s="89"/>
      <c r="K51" s="157"/>
      <c r="L51" s="157"/>
      <c r="M51" s="158"/>
      <c r="O51" s="82">
        <f t="shared" si="0"/>
        <v>0</v>
      </c>
    </row>
    <row r="52" spans="1:15" s="5" customFormat="1" ht="16.149999999999999" customHeight="1" x14ac:dyDescent="0.2">
      <c r="A52" s="30"/>
      <c r="B52" s="36"/>
      <c r="C52" s="32"/>
      <c r="D52" s="32">
        <v>15</v>
      </c>
      <c r="E52" s="89">
        <f>1.2+0.2</f>
        <v>1.4</v>
      </c>
      <c r="F52" s="89">
        <f>1.2+0.2</f>
        <v>1.4</v>
      </c>
      <c r="G52" s="89">
        <v>0.1</v>
      </c>
      <c r="H52" s="89">
        <f t="shared" si="2"/>
        <v>2.94</v>
      </c>
      <c r="I52" s="89"/>
      <c r="J52" s="89"/>
      <c r="K52" s="157"/>
      <c r="L52" s="157"/>
      <c r="M52" s="158"/>
      <c r="O52" s="82">
        <f t="shared" si="0"/>
        <v>0</v>
      </c>
    </row>
    <row r="53" spans="1:15" s="5" customFormat="1" ht="16.149999999999999" customHeight="1" x14ac:dyDescent="0.2">
      <c r="A53" s="30"/>
      <c r="B53" s="36" t="s">
        <v>463</v>
      </c>
      <c r="C53" s="32"/>
      <c r="D53" s="32">
        <v>1</v>
      </c>
      <c r="E53" s="89">
        <f>21.4-0.25*4</f>
        <v>20.399999999999999</v>
      </c>
      <c r="F53" s="89">
        <v>0.4</v>
      </c>
      <c r="G53" s="89">
        <v>0.1</v>
      </c>
      <c r="H53" s="89">
        <f t="shared" si="2"/>
        <v>0.81600000000000006</v>
      </c>
      <c r="I53" s="89"/>
      <c r="J53" s="89"/>
      <c r="K53" s="157"/>
      <c r="L53" s="157"/>
      <c r="M53" s="158"/>
      <c r="O53" s="82">
        <f t="shared" si="0"/>
        <v>0</v>
      </c>
    </row>
    <row r="54" spans="1:15" s="5" customFormat="1" ht="16.149999999999999" customHeight="1" x14ac:dyDescent="0.2">
      <c r="A54" s="30"/>
      <c r="B54" s="36"/>
      <c r="C54" s="32"/>
      <c r="D54" s="32">
        <v>1</v>
      </c>
      <c r="E54" s="89">
        <f>17.8-0.25*3</f>
        <v>17.05</v>
      </c>
      <c r="F54" s="89">
        <v>0.4</v>
      </c>
      <c r="G54" s="89">
        <v>0.1</v>
      </c>
      <c r="H54" s="89">
        <f t="shared" si="2"/>
        <v>0.68200000000000005</v>
      </c>
      <c r="I54" s="89"/>
      <c r="J54" s="89"/>
      <c r="K54" s="157"/>
      <c r="L54" s="157"/>
      <c r="M54" s="158"/>
      <c r="O54" s="82">
        <f t="shared" si="0"/>
        <v>0</v>
      </c>
    </row>
    <row r="55" spans="1:15" s="5" customFormat="1" ht="16.149999999999999" customHeight="1" x14ac:dyDescent="0.2">
      <c r="A55" s="30"/>
      <c r="B55" s="36"/>
      <c r="C55" s="32"/>
      <c r="D55" s="32">
        <v>1</v>
      </c>
      <c r="E55" s="89">
        <f>9.8-0.25*3</f>
        <v>9.0500000000000007</v>
      </c>
      <c r="F55" s="89">
        <v>0.4</v>
      </c>
      <c r="G55" s="89">
        <v>0.1</v>
      </c>
      <c r="H55" s="89">
        <f t="shared" si="2"/>
        <v>0.3620000000000001</v>
      </c>
      <c r="I55" s="89"/>
      <c r="J55" s="89"/>
      <c r="K55" s="157"/>
      <c r="L55" s="157"/>
      <c r="M55" s="158"/>
      <c r="O55" s="82">
        <f t="shared" si="0"/>
        <v>0</v>
      </c>
    </row>
    <row r="56" spans="1:15" s="5" customFormat="1" ht="16.149999999999999" customHeight="1" x14ac:dyDescent="0.2">
      <c r="A56" s="30"/>
      <c r="B56" s="36"/>
      <c r="C56" s="32"/>
      <c r="D56" s="32"/>
      <c r="E56" s="89"/>
      <c r="F56" s="89"/>
      <c r="G56" s="89"/>
      <c r="H56" s="89"/>
      <c r="I56" s="89">
        <f>SUM(H49:H55)</f>
        <v>9.0399999999999991</v>
      </c>
      <c r="J56" s="89"/>
      <c r="K56" s="157"/>
      <c r="L56" s="157"/>
      <c r="M56" s="158"/>
      <c r="O56" s="82">
        <f t="shared" si="0"/>
        <v>0</v>
      </c>
    </row>
    <row r="57" spans="1:15" s="5" customFormat="1" ht="16.149999999999999" customHeight="1" x14ac:dyDescent="0.2">
      <c r="A57" s="30"/>
      <c r="B57" s="98" t="s">
        <v>465</v>
      </c>
      <c r="C57" s="32"/>
      <c r="D57" s="32"/>
      <c r="E57" s="89"/>
      <c r="F57" s="89"/>
      <c r="G57" s="89"/>
      <c r="H57" s="89"/>
      <c r="I57" s="89"/>
      <c r="J57" s="89"/>
      <c r="K57" s="157"/>
      <c r="L57" s="157"/>
      <c r="M57" s="158"/>
      <c r="O57" s="82">
        <f t="shared" si="0"/>
        <v>0</v>
      </c>
    </row>
    <row r="58" spans="1:15" s="5" customFormat="1" ht="16.149999999999999" customHeight="1" x14ac:dyDescent="0.2">
      <c r="A58" s="30"/>
      <c r="B58" s="36" t="s">
        <v>461</v>
      </c>
      <c r="C58" s="32"/>
      <c r="D58" s="32">
        <v>2</v>
      </c>
      <c r="E58" s="89">
        <f>12.7+0.1*2</f>
        <v>12.899999999999999</v>
      </c>
      <c r="F58" s="89">
        <v>0.6</v>
      </c>
      <c r="G58" s="89">
        <v>0.1</v>
      </c>
      <c r="H58" s="89">
        <f t="shared" ref="H58:H65" si="3">PRODUCT(D58:G58)</f>
        <v>1.5479999999999998</v>
      </c>
      <c r="I58" s="89"/>
      <c r="J58" s="89"/>
      <c r="K58" s="157"/>
      <c r="L58" s="157"/>
      <c r="M58" s="158"/>
      <c r="O58" s="82">
        <f t="shared" si="0"/>
        <v>0</v>
      </c>
    </row>
    <row r="59" spans="1:15" s="5" customFormat="1" ht="16.149999999999999" customHeight="1" x14ac:dyDescent="0.2">
      <c r="A59" s="30"/>
      <c r="B59" s="36"/>
      <c r="C59" s="32"/>
      <c r="D59" s="32">
        <v>2</v>
      </c>
      <c r="E59" s="89">
        <f>10.8-0.5*2</f>
        <v>9.8000000000000007</v>
      </c>
      <c r="F59" s="89">
        <v>0.6</v>
      </c>
      <c r="G59" s="89">
        <v>0.1</v>
      </c>
      <c r="H59" s="89">
        <f t="shared" si="3"/>
        <v>1.1759999999999999</v>
      </c>
      <c r="I59" s="89"/>
      <c r="J59" s="89"/>
      <c r="K59" s="157"/>
      <c r="L59" s="157"/>
      <c r="M59" s="158"/>
      <c r="O59" s="82">
        <f t="shared" si="0"/>
        <v>0</v>
      </c>
    </row>
    <row r="60" spans="1:15" s="5" customFormat="1" ht="16.149999999999999" customHeight="1" x14ac:dyDescent="0.2">
      <c r="A60" s="30"/>
      <c r="B60" s="36" t="s">
        <v>462</v>
      </c>
      <c r="C60" s="32"/>
      <c r="D60" s="32">
        <v>15</v>
      </c>
      <c r="E60" s="89">
        <f>1.2+0.2</f>
        <v>1.4</v>
      </c>
      <c r="F60" s="89">
        <f>1.2+0.2</f>
        <v>1.4</v>
      </c>
      <c r="G60" s="89">
        <v>0.1</v>
      </c>
      <c r="H60" s="89">
        <f t="shared" si="3"/>
        <v>2.94</v>
      </c>
      <c r="I60" s="89"/>
      <c r="J60" s="89"/>
      <c r="K60" s="157"/>
      <c r="L60" s="157"/>
      <c r="M60" s="158"/>
      <c r="O60" s="82">
        <f t="shared" si="0"/>
        <v>0</v>
      </c>
    </row>
    <row r="61" spans="1:15" s="5" customFormat="1" ht="16.149999999999999" customHeight="1" x14ac:dyDescent="0.2">
      <c r="A61" s="30"/>
      <c r="B61" s="36" t="s">
        <v>463</v>
      </c>
      <c r="C61" s="32"/>
      <c r="D61" s="32">
        <v>1</v>
      </c>
      <c r="E61" s="89">
        <f>5.3+0.1+0.1+4.4+0.1-0.25*3</f>
        <v>9.2499999999999982</v>
      </c>
      <c r="F61" s="89">
        <v>0.4</v>
      </c>
      <c r="G61" s="89">
        <v>0.1</v>
      </c>
      <c r="H61" s="89">
        <f t="shared" si="3"/>
        <v>0.36999999999999994</v>
      </c>
      <c r="I61" s="89"/>
      <c r="J61" s="89"/>
      <c r="K61" s="157"/>
      <c r="L61" s="157"/>
      <c r="M61" s="158"/>
      <c r="O61" s="82">
        <f t="shared" si="0"/>
        <v>0</v>
      </c>
    </row>
    <row r="62" spans="1:15" s="5" customFormat="1" ht="16.149999999999999" customHeight="1" x14ac:dyDescent="0.2">
      <c r="A62" s="30"/>
      <c r="B62" s="36"/>
      <c r="C62" s="32"/>
      <c r="D62" s="32">
        <v>1</v>
      </c>
      <c r="E62" s="89">
        <f>12.3-0.25*4</f>
        <v>11.3</v>
      </c>
      <c r="F62" s="89">
        <v>0.4</v>
      </c>
      <c r="G62" s="89">
        <v>0.1</v>
      </c>
      <c r="H62" s="89">
        <f t="shared" si="3"/>
        <v>0.45200000000000007</v>
      </c>
      <c r="I62" s="89"/>
      <c r="J62" s="89"/>
      <c r="K62" s="157"/>
      <c r="L62" s="157"/>
      <c r="M62" s="158"/>
      <c r="O62" s="82">
        <f t="shared" si="0"/>
        <v>0</v>
      </c>
    </row>
    <row r="63" spans="1:15" s="5" customFormat="1" ht="16.149999999999999" customHeight="1" x14ac:dyDescent="0.2">
      <c r="A63" s="30"/>
      <c r="B63" s="36"/>
      <c r="C63" s="32"/>
      <c r="D63" s="32">
        <v>1</v>
      </c>
      <c r="E63" s="89">
        <f>9.8-0.25*3</f>
        <v>9.0500000000000007</v>
      </c>
      <c r="F63" s="89">
        <v>0.4</v>
      </c>
      <c r="G63" s="89">
        <v>0.1</v>
      </c>
      <c r="H63" s="89">
        <f t="shared" si="3"/>
        <v>0.3620000000000001</v>
      </c>
      <c r="I63" s="89"/>
      <c r="J63" s="89"/>
      <c r="K63" s="157"/>
      <c r="L63" s="157"/>
      <c r="M63" s="158"/>
      <c r="O63" s="82">
        <f t="shared" si="0"/>
        <v>0</v>
      </c>
    </row>
    <row r="64" spans="1:15" s="5" customFormat="1" ht="16.149999999999999" customHeight="1" x14ac:dyDescent="0.2">
      <c r="A64" s="30"/>
      <c r="B64" s="36"/>
      <c r="C64" s="32"/>
      <c r="D64" s="32">
        <v>1</v>
      </c>
      <c r="E64" s="89">
        <f>7.5-0.25*2</f>
        <v>7</v>
      </c>
      <c r="F64" s="89">
        <v>0.4</v>
      </c>
      <c r="G64" s="89">
        <v>0.1</v>
      </c>
      <c r="H64" s="89">
        <f t="shared" si="3"/>
        <v>0.28000000000000003</v>
      </c>
      <c r="I64" s="89"/>
      <c r="J64" s="89"/>
      <c r="K64" s="157"/>
      <c r="L64" s="157"/>
      <c r="M64" s="158"/>
      <c r="O64" s="82">
        <f t="shared" si="0"/>
        <v>0</v>
      </c>
    </row>
    <row r="65" spans="1:15" s="5" customFormat="1" ht="16.149999999999999" customHeight="1" x14ac:dyDescent="0.2">
      <c r="A65" s="30"/>
      <c r="B65" s="36"/>
      <c r="C65" s="32"/>
      <c r="D65" s="32">
        <v>1</v>
      </c>
      <c r="E65" s="89">
        <f>3.6+2.7+0.1+3+0.2-0.25*4</f>
        <v>8.6</v>
      </c>
      <c r="F65" s="89">
        <v>0.4</v>
      </c>
      <c r="G65" s="89">
        <v>0.1</v>
      </c>
      <c r="H65" s="89">
        <f t="shared" si="3"/>
        <v>0.34400000000000003</v>
      </c>
      <c r="I65" s="89"/>
      <c r="J65" s="89"/>
      <c r="K65" s="157"/>
      <c r="L65" s="157"/>
      <c r="M65" s="158"/>
      <c r="O65" s="82">
        <f t="shared" si="0"/>
        <v>0</v>
      </c>
    </row>
    <row r="66" spans="1:15" s="5" customFormat="1" ht="16.149999999999999" customHeight="1" x14ac:dyDescent="0.2">
      <c r="A66" s="30"/>
      <c r="B66" s="36"/>
      <c r="C66" s="32"/>
      <c r="D66" s="32"/>
      <c r="E66" s="89"/>
      <c r="F66" s="89"/>
      <c r="G66" s="89"/>
      <c r="H66" s="89"/>
      <c r="I66" s="89">
        <f>SUM(H58:H65)</f>
        <v>7.4720000000000004</v>
      </c>
      <c r="J66" s="89"/>
      <c r="K66" s="157"/>
      <c r="L66" s="157"/>
      <c r="M66" s="158"/>
      <c r="O66" s="82">
        <f t="shared" si="0"/>
        <v>0</v>
      </c>
    </row>
    <row r="67" spans="1:15" s="5" customFormat="1" ht="16.149999999999999" customHeight="1" x14ac:dyDescent="0.2">
      <c r="A67" s="30"/>
      <c r="B67" s="98" t="s">
        <v>466</v>
      </c>
      <c r="C67" s="32"/>
      <c r="D67" s="32"/>
      <c r="E67" s="89"/>
      <c r="F67" s="89"/>
      <c r="G67" s="89"/>
      <c r="H67" s="89"/>
      <c r="I67" s="89"/>
      <c r="J67" s="89"/>
      <c r="K67" s="157"/>
      <c r="L67" s="157"/>
      <c r="M67" s="158"/>
      <c r="O67" s="82">
        <f t="shared" si="0"/>
        <v>0</v>
      </c>
    </row>
    <row r="68" spans="1:15" s="5" customFormat="1" ht="16.149999999999999" customHeight="1" x14ac:dyDescent="0.2">
      <c r="A68" s="30"/>
      <c r="B68" s="36" t="s">
        <v>461</v>
      </c>
      <c r="C68" s="32"/>
      <c r="D68" s="32">
        <v>2</v>
      </c>
      <c r="E68" s="89">
        <f>8.8+0.1*2</f>
        <v>9</v>
      </c>
      <c r="F68" s="89">
        <v>0.6</v>
      </c>
      <c r="G68" s="89">
        <v>0.1</v>
      </c>
      <c r="H68" s="89">
        <f t="shared" ref="H68:H72" si="4">PRODUCT(D68:G68)</f>
        <v>1.0799999999999998</v>
      </c>
      <c r="I68" s="89"/>
      <c r="J68" s="89"/>
      <c r="K68" s="157"/>
      <c r="L68" s="157"/>
      <c r="M68" s="158"/>
      <c r="O68" s="82">
        <f t="shared" si="0"/>
        <v>0</v>
      </c>
    </row>
    <row r="69" spans="1:15" s="5" customFormat="1" ht="16.149999999999999" customHeight="1" x14ac:dyDescent="0.2">
      <c r="A69" s="30"/>
      <c r="B69" s="36"/>
      <c r="C69" s="32"/>
      <c r="D69" s="32">
        <v>2</v>
      </c>
      <c r="E69" s="89">
        <f>9.8-0.5*2</f>
        <v>8.8000000000000007</v>
      </c>
      <c r="F69" s="89">
        <v>0.6</v>
      </c>
      <c r="G69" s="89">
        <v>0.1</v>
      </c>
      <c r="H69" s="89">
        <f t="shared" si="4"/>
        <v>1.056</v>
      </c>
      <c r="I69" s="89"/>
      <c r="J69" s="89"/>
      <c r="K69" s="157"/>
      <c r="L69" s="157"/>
      <c r="M69" s="158"/>
      <c r="O69" s="82">
        <f t="shared" si="0"/>
        <v>0</v>
      </c>
    </row>
    <row r="70" spans="1:15" s="5" customFormat="1" ht="16.149999999999999" customHeight="1" x14ac:dyDescent="0.2">
      <c r="A70" s="30"/>
      <c r="B70" s="36" t="s">
        <v>462</v>
      </c>
      <c r="C70" s="32"/>
      <c r="D70" s="32">
        <v>9</v>
      </c>
      <c r="E70" s="89">
        <f>1.2+0.2</f>
        <v>1.4</v>
      </c>
      <c r="F70" s="89">
        <f>1.2+0.2</f>
        <v>1.4</v>
      </c>
      <c r="G70" s="89">
        <v>0.1</v>
      </c>
      <c r="H70" s="89">
        <f t="shared" si="4"/>
        <v>1.7639999999999998</v>
      </c>
      <c r="I70" s="89"/>
      <c r="J70" s="89"/>
      <c r="K70" s="157"/>
      <c r="L70" s="157"/>
      <c r="M70" s="158"/>
      <c r="O70" s="82">
        <f t="shared" ref="O70:O133" si="5">K70-J70</f>
        <v>0</v>
      </c>
    </row>
    <row r="71" spans="1:15" s="5" customFormat="1" ht="16.149999999999999" customHeight="1" x14ac:dyDescent="0.2">
      <c r="A71" s="30"/>
      <c r="B71" s="36" t="s">
        <v>463</v>
      </c>
      <c r="C71" s="32"/>
      <c r="D71" s="32">
        <v>1</v>
      </c>
      <c r="E71" s="89">
        <f>8.8-0.25*3</f>
        <v>8.0500000000000007</v>
      </c>
      <c r="F71" s="89">
        <v>0.4</v>
      </c>
      <c r="G71" s="89">
        <v>0.1</v>
      </c>
      <c r="H71" s="89">
        <f t="shared" si="4"/>
        <v>0.32200000000000006</v>
      </c>
      <c r="I71" s="89"/>
      <c r="J71" s="89"/>
      <c r="K71" s="157"/>
      <c r="L71" s="157"/>
      <c r="M71" s="158"/>
      <c r="O71" s="82">
        <f t="shared" si="5"/>
        <v>0</v>
      </c>
    </row>
    <row r="72" spans="1:15" s="5" customFormat="1" ht="16.149999999999999" customHeight="1" x14ac:dyDescent="0.2">
      <c r="A72" s="30"/>
      <c r="B72" s="36"/>
      <c r="C72" s="32"/>
      <c r="D72" s="32">
        <v>1</v>
      </c>
      <c r="E72" s="89">
        <f>9.8-0.25*3</f>
        <v>9.0500000000000007</v>
      </c>
      <c r="F72" s="89">
        <v>0.4</v>
      </c>
      <c r="G72" s="89">
        <v>0.1</v>
      </c>
      <c r="H72" s="89">
        <f t="shared" si="4"/>
        <v>0.3620000000000001</v>
      </c>
      <c r="I72" s="89"/>
      <c r="J72" s="89"/>
      <c r="K72" s="157"/>
      <c r="L72" s="157"/>
      <c r="M72" s="158"/>
      <c r="O72" s="82">
        <f t="shared" si="5"/>
        <v>0</v>
      </c>
    </row>
    <row r="73" spans="1:15" s="5" customFormat="1" ht="16.149999999999999" customHeight="1" x14ac:dyDescent="0.2">
      <c r="A73" s="30"/>
      <c r="B73" s="36"/>
      <c r="C73" s="32"/>
      <c r="D73" s="32"/>
      <c r="E73" s="89"/>
      <c r="F73" s="89"/>
      <c r="G73" s="89"/>
      <c r="H73" s="89"/>
      <c r="I73" s="89">
        <f>SUM(H68:H72)</f>
        <v>4.5839999999999996</v>
      </c>
      <c r="J73" s="89"/>
      <c r="K73" s="157"/>
      <c r="L73" s="157"/>
      <c r="M73" s="158"/>
      <c r="O73" s="82">
        <f t="shared" si="5"/>
        <v>0</v>
      </c>
    </row>
    <row r="74" spans="1:15" s="5" customFormat="1" ht="16.149999999999999" customHeight="1" x14ac:dyDescent="0.2">
      <c r="A74" s="30"/>
      <c r="B74" s="98" t="s">
        <v>467</v>
      </c>
      <c r="C74" s="32"/>
      <c r="D74" s="32"/>
      <c r="E74" s="89"/>
      <c r="F74" s="89"/>
      <c r="G74" s="89"/>
      <c r="H74" s="89"/>
      <c r="I74" s="89"/>
      <c r="J74" s="89"/>
      <c r="K74" s="157"/>
      <c r="L74" s="157"/>
      <c r="M74" s="158"/>
      <c r="O74" s="82">
        <f t="shared" si="5"/>
        <v>0</v>
      </c>
    </row>
    <row r="75" spans="1:15" s="5" customFormat="1" ht="16.149999999999999" customHeight="1" x14ac:dyDescent="0.2">
      <c r="A75" s="30"/>
      <c r="B75" s="36" t="s">
        <v>461</v>
      </c>
      <c r="C75" s="32"/>
      <c r="D75" s="32">
        <v>2</v>
      </c>
      <c r="E75" s="89">
        <f>2.4+0.1*2</f>
        <v>2.6</v>
      </c>
      <c r="F75" s="89">
        <v>0.6</v>
      </c>
      <c r="G75" s="89">
        <v>0.1</v>
      </c>
      <c r="H75" s="89">
        <f t="shared" ref="H75:H78" si="6">PRODUCT(D75:G75)</f>
        <v>0.31200000000000006</v>
      </c>
      <c r="I75" s="89"/>
      <c r="J75" s="89"/>
      <c r="K75" s="157"/>
      <c r="L75" s="157"/>
      <c r="M75" s="158"/>
      <c r="O75" s="82">
        <f t="shared" si="5"/>
        <v>0</v>
      </c>
    </row>
    <row r="76" spans="1:15" s="5" customFormat="1" ht="16.149999999999999" customHeight="1" x14ac:dyDescent="0.2">
      <c r="A76" s="30"/>
      <c r="B76" s="36"/>
      <c r="C76" s="32"/>
      <c r="D76" s="32">
        <v>2</v>
      </c>
      <c r="E76" s="89">
        <f>3.4-0.5*2</f>
        <v>2.4</v>
      </c>
      <c r="F76" s="89">
        <v>0.6</v>
      </c>
      <c r="G76" s="89">
        <v>0.1</v>
      </c>
      <c r="H76" s="89">
        <f t="shared" si="6"/>
        <v>0.28799999999999998</v>
      </c>
      <c r="I76" s="89"/>
      <c r="J76" s="89"/>
      <c r="K76" s="157"/>
      <c r="L76" s="157"/>
      <c r="M76" s="158"/>
      <c r="O76" s="82">
        <f t="shared" si="5"/>
        <v>0</v>
      </c>
    </row>
    <row r="77" spans="1:15" s="5" customFormat="1" ht="16.149999999999999" customHeight="1" x14ac:dyDescent="0.2">
      <c r="A77" s="30"/>
      <c r="B77" s="36" t="s">
        <v>462</v>
      </c>
      <c r="C77" s="32"/>
      <c r="D77" s="32">
        <v>4</v>
      </c>
      <c r="E77" s="89">
        <f>1.2+0.2</f>
        <v>1.4</v>
      </c>
      <c r="F77" s="89">
        <f>1.2+0.2</f>
        <v>1.4</v>
      </c>
      <c r="G77" s="89">
        <v>0.1</v>
      </c>
      <c r="H77" s="89">
        <f t="shared" si="6"/>
        <v>0.78399999999999992</v>
      </c>
      <c r="I77" s="89"/>
      <c r="J77" s="89"/>
      <c r="K77" s="157"/>
      <c r="L77" s="157"/>
      <c r="M77" s="158"/>
      <c r="O77" s="82">
        <f t="shared" si="5"/>
        <v>0</v>
      </c>
    </row>
    <row r="78" spans="1:15" s="5" customFormat="1" ht="16.149999999999999" customHeight="1" x14ac:dyDescent="0.2">
      <c r="A78" s="30"/>
      <c r="B78" s="36"/>
      <c r="C78" s="32"/>
      <c r="D78" s="32"/>
      <c r="E78" s="89"/>
      <c r="F78" s="89"/>
      <c r="G78" s="89"/>
      <c r="H78" s="89">
        <f t="shared" si="6"/>
        <v>0</v>
      </c>
      <c r="I78" s="89">
        <f>SUM(H75:H77)</f>
        <v>1.3839999999999999</v>
      </c>
      <c r="J78" s="89"/>
      <c r="K78" s="157"/>
      <c r="L78" s="157"/>
      <c r="M78" s="158"/>
      <c r="O78" s="82">
        <f t="shared" si="5"/>
        <v>0</v>
      </c>
    </row>
    <row r="79" spans="1:15" s="5" customFormat="1" ht="16.149999999999999" customHeight="1" x14ac:dyDescent="0.2">
      <c r="A79" s="30"/>
      <c r="B79" s="36"/>
      <c r="C79" s="32"/>
      <c r="D79" s="32"/>
      <c r="E79" s="89"/>
      <c r="F79" s="89"/>
      <c r="G79" s="89"/>
      <c r="H79" s="89"/>
      <c r="I79" s="89"/>
      <c r="J79" s="89"/>
      <c r="K79" s="157"/>
      <c r="L79" s="157"/>
      <c r="M79" s="158"/>
      <c r="O79" s="82">
        <f t="shared" si="5"/>
        <v>0</v>
      </c>
    </row>
    <row r="80" spans="1:15" ht="15" customHeight="1" x14ac:dyDescent="0.2">
      <c r="A80" s="30" t="s">
        <v>148</v>
      </c>
      <c r="B80" s="39" t="s">
        <v>77</v>
      </c>
      <c r="C80" s="32" t="s">
        <v>5</v>
      </c>
      <c r="D80" s="32"/>
      <c r="E80" s="89"/>
      <c r="F80" s="89"/>
      <c r="G80" s="89"/>
      <c r="H80" s="89"/>
      <c r="I80" s="89"/>
      <c r="J80" s="89">
        <f>SUM(I83:I95)</f>
        <v>2.4543999999999997</v>
      </c>
      <c r="K80" s="157">
        <v>15</v>
      </c>
      <c r="L80" s="157">
        <v>700</v>
      </c>
      <c r="M80" s="158">
        <f>+L80*K80</f>
        <v>10500</v>
      </c>
      <c r="O80" s="82">
        <f t="shared" si="5"/>
        <v>12.5456</v>
      </c>
    </row>
    <row r="81" spans="1:15" s="5" customFormat="1" ht="16.149999999999999" customHeight="1" x14ac:dyDescent="0.2">
      <c r="A81" s="30"/>
      <c r="B81" s="98" t="s">
        <v>464</v>
      </c>
      <c r="C81" s="32"/>
      <c r="D81" s="32"/>
      <c r="E81" s="89"/>
      <c r="F81" s="89"/>
      <c r="G81" s="89"/>
      <c r="H81" s="89"/>
      <c r="I81" s="89"/>
      <c r="K81" s="157"/>
      <c r="L81" s="157"/>
      <c r="M81" s="158"/>
      <c r="O81" s="82">
        <f t="shared" si="5"/>
        <v>0</v>
      </c>
    </row>
    <row r="82" spans="1:15" ht="15" customHeight="1" x14ac:dyDescent="0.2">
      <c r="A82" s="30"/>
      <c r="B82" s="39" t="s">
        <v>468</v>
      </c>
      <c r="C82" s="32"/>
      <c r="D82" s="32">
        <v>1</v>
      </c>
      <c r="E82" s="89">
        <v>1.6</v>
      </c>
      <c r="F82" s="89">
        <f>0.3*3</f>
        <v>0.89999999999999991</v>
      </c>
      <c r="G82" s="89">
        <f>0.17*3+0.5</f>
        <v>1.01</v>
      </c>
      <c r="H82" s="89">
        <f t="shared" ref="H82:H83" si="7">PRODUCT(D82:G82)</f>
        <v>1.4543999999999999</v>
      </c>
      <c r="I82" s="89"/>
      <c r="J82" s="89"/>
      <c r="K82" s="157"/>
      <c r="L82" s="157"/>
      <c r="M82" s="158"/>
      <c r="O82" s="82">
        <f t="shared" si="5"/>
        <v>0</v>
      </c>
    </row>
    <row r="83" spans="1:15" s="5" customFormat="1" ht="16.149999999999999" customHeight="1" x14ac:dyDescent="0.2">
      <c r="A83" s="30"/>
      <c r="B83" s="36" t="s">
        <v>469</v>
      </c>
      <c r="C83" s="32"/>
      <c r="D83" s="32">
        <v>2</v>
      </c>
      <c r="E83" s="89">
        <v>0.5</v>
      </c>
      <c r="F83" s="89">
        <v>0.5</v>
      </c>
      <c r="G83" s="89">
        <v>0.5</v>
      </c>
      <c r="H83" s="89">
        <f t="shared" si="7"/>
        <v>0.25</v>
      </c>
      <c r="I83" s="89"/>
      <c r="J83" s="89"/>
      <c r="K83" s="157"/>
      <c r="L83" s="157"/>
      <c r="M83" s="158"/>
      <c r="O83" s="82">
        <f t="shared" si="5"/>
        <v>0</v>
      </c>
    </row>
    <row r="84" spans="1:15" s="5" customFormat="1" ht="16.149999999999999" customHeight="1" x14ac:dyDescent="0.2">
      <c r="A84" s="30"/>
      <c r="B84" s="36"/>
      <c r="C84" s="32"/>
      <c r="D84" s="32"/>
      <c r="E84" s="89"/>
      <c r="F84" s="89"/>
      <c r="G84" s="89"/>
      <c r="H84" s="89"/>
      <c r="I84" s="89">
        <f>SUM(H82:H83)</f>
        <v>1.7043999999999999</v>
      </c>
      <c r="J84" s="89"/>
      <c r="K84" s="157"/>
      <c r="L84" s="157"/>
      <c r="M84" s="158"/>
      <c r="O84" s="82">
        <f t="shared" si="5"/>
        <v>0</v>
      </c>
    </row>
    <row r="85" spans="1:15" s="5" customFormat="1" ht="16.149999999999999" customHeight="1" x14ac:dyDescent="0.2">
      <c r="A85" s="30"/>
      <c r="B85" s="98" t="s">
        <v>465</v>
      </c>
      <c r="C85" s="32"/>
      <c r="D85" s="32"/>
      <c r="E85" s="89"/>
      <c r="F85" s="89"/>
      <c r="G85" s="89"/>
      <c r="H85" s="89"/>
      <c r="I85" s="89"/>
      <c r="J85" s="89"/>
      <c r="K85" s="157"/>
      <c r="L85" s="157"/>
      <c r="M85" s="158"/>
      <c r="O85" s="82">
        <f t="shared" si="5"/>
        <v>0</v>
      </c>
    </row>
    <row r="86" spans="1:15" s="5" customFormat="1" ht="16.149999999999999" customHeight="1" x14ac:dyDescent="0.2">
      <c r="A86" s="30"/>
      <c r="B86" s="36" t="s">
        <v>469</v>
      </c>
      <c r="C86" s="32"/>
      <c r="D86" s="32">
        <v>2</v>
      </c>
      <c r="E86" s="89">
        <v>0.5</v>
      </c>
      <c r="F86" s="89">
        <v>0.5</v>
      </c>
      <c r="G86" s="89">
        <v>0.5</v>
      </c>
      <c r="H86" s="89">
        <f t="shared" ref="H86" si="8">PRODUCT(D86:G86)</f>
        <v>0.25</v>
      </c>
      <c r="I86" s="89"/>
      <c r="J86" s="89"/>
      <c r="K86" s="157"/>
      <c r="L86" s="157"/>
      <c r="M86" s="158"/>
      <c r="O86" s="82">
        <f t="shared" si="5"/>
        <v>0</v>
      </c>
    </row>
    <row r="87" spans="1:15" s="5" customFormat="1" ht="16.149999999999999" customHeight="1" x14ac:dyDescent="0.2">
      <c r="A87" s="30"/>
      <c r="B87" s="36"/>
      <c r="C87" s="32"/>
      <c r="D87" s="32"/>
      <c r="E87" s="89"/>
      <c r="F87" s="89"/>
      <c r="G87" s="89"/>
      <c r="H87" s="89"/>
      <c r="I87" s="89">
        <f>SUM(H86:H86)</f>
        <v>0.25</v>
      </c>
      <c r="J87" s="89"/>
      <c r="K87" s="157"/>
      <c r="L87" s="157"/>
      <c r="M87" s="158"/>
      <c r="O87" s="82">
        <f t="shared" si="5"/>
        <v>0</v>
      </c>
    </row>
    <row r="88" spans="1:15" s="5" customFormat="1" ht="16.149999999999999" customHeight="1" x14ac:dyDescent="0.2">
      <c r="A88" s="30"/>
      <c r="B88" s="36"/>
      <c r="C88" s="32"/>
      <c r="D88" s="32"/>
      <c r="E88" s="89"/>
      <c r="F88" s="89"/>
      <c r="G88" s="89"/>
      <c r="H88" s="89"/>
      <c r="I88" s="89"/>
      <c r="J88" s="89"/>
      <c r="K88" s="157"/>
      <c r="L88" s="157"/>
      <c r="M88" s="158"/>
      <c r="O88" s="82">
        <f t="shared" si="5"/>
        <v>0</v>
      </c>
    </row>
    <row r="89" spans="1:15" s="5" customFormat="1" ht="16.149999999999999" customHeight="1" x14ac:dyDescent="0.2">
      <c r="A89" s="30"/>
      <c r="B89" s="98" t="s">
        <v>466</v>
      </c>
      <c r="C89" s="32"/>
      <c r="D89" s="32"/>
      <c r="E89" s="89"/>
      <c r="F89" s="89"/>
      <c r="G89" s="89"/>
      <c r="H89" s="89"/>
      <c r="I89" s="89"/>
      <c r="J89" s="89"/>
      <c r="K89" s="157"/>
      <c r="L89" s="157"/>
      <c r="M89" s="158"/>
      <c r="O89" s="82">
        <f t="shared" si="5"/>
        <v>0</v>
      </c>
    </row>
    <row r="90" spans="1:15" s="5" customFormat="1" ht="16.149999999999999" customHeight="1" x14ac:dyDescent="0.2">
      <c r="A90" s="30"/>
      <c r="B90" s="36" t="s">
        <v>469</v>
      </c>
      <c r="C90" s="32"/>
      <c r="D90" s="32">
        <v>2</v>
      </c>
      <c r="E90" s="89">
        <v>0.5</v>
      </c>
      <c r="F90" s="89">
        <v>0.5</v>
      </c>
      <c r="G90" s="89">
        <v>0.5</v>
      </c>
      <c r="H90" s="89">
        <f t="shared" ref="H90" si="9">PRODUCT(D90:G90)</f>
        <v>0.25</v>
      </c>
      <c r="I90" s="89"/>
      <c r="J90" s="89"/>
      <c r="K90" s="157"/>
      <c r="L90" s="157"/>
      <c r="M90" s="158"/>
      <c r="O90" s="82">
        <f t="shared" si="5"/>
        <v>0</v>
      </c>
    </row>
    <row r="91" spans="1:15" s="5" customFormat="1" ht="16.149999999999999" customHeight="1" x14ac:dyDescent="0.2">
      <c r="A91" s="30"/>
      <c r="B91" s="36"/>
      <c r="C91" s="32"/>
      <c r="D91" s="32"/>
      <c r="E91" s="89"/>
      <c r="F91" s="89"/>
      <c r="G91" s="89"/>
      <c r="H91" s="89"/>
      <c r="I91" s="89">
        <f>SUM(H90:H90)</f>
        <v>0.25</v>
      </c>
      <c r="J91" s="89"/>
      <c r="K91" s="157"/>
      <c r="L91" s="157"/>
      <c r="M91" s="158"/>
      <c r="O91" s="82">
        <f t="shared" si="5"/>
        <v>0</v>
      </c>
    </row>
    <row r="92" spans="1:15" s="5" customFormat="1" ht="16.149999999999999" customHeight="1" x14ac:dyDescent="0.2">
      <c r="A92" s="30"/>
      <c r="B92" s="98" t="s">
        <v>467</v>
      </c>
      <c r="C92" s="32"/>
      <c r="D92" s="32"/>
      <c r="E92" s="89"/>
      <c r="F92" s="89"/>
      <c r="G92" s="89"/>
      <c r="H92" s="89"/>
      <c r="I92" s="89"/>
      <c r="J92" s="89"/>
      <c r="K92" s="157"/>
      <c r="L92" s="157"/>
      <c r="M92" s="158"/>
      <c r="O92" s="82">
        <f t="shared" si="5"/>
        <v>0</v>
      </c>
    </row>
    <row r="93" spans="1:15" s="5" customFormat="1" ht="16.149999999999999" customHeight="1" x14ac:dyDescent="0.2">
      <c r="A93" s="30"/>
      <c r="B93" s="36" t="s">
        <v>469</v>
      </c>
      <c r="C93" s="32"/>
      <c r="D93" s="32">
        <v>2</v>
      </c>
      <c r="E93" s="89">
        <v>0.5</v>
      </c>
      <c r="F93" s="89">
        <v>0.5</v>
      </c>
      <c r="G93" s="89">
        <v>0.5</v>
      </c>
      <c r="H93" s="89">
        <f t="shared" ref="H93" si="10">PRODUCT(D93:G93)</f>
        <v>0.25</v>
      </c>
      <c r="I93" s="89"/>
      <c r="J93" s="89"/>
      <c r="K93" s="157"/>
      <c r="L93" s="157"/>
      <c r="M93" s="158"/>
      <c r="O93" s="82">
        <f t="shared" si="5"/>
        <v>0</v>
      </c>
    </row>
    <row r="94" spans="1:15" s="5" customFormat="1" ht="16.149999999999999" customHeight="1" x14ac:dyDescent="0.2">
      <c r="A94" s="30"/>
      <c r="B94" s="36"/>
      <c r="C94" s="32"/>
      <c r="D94" s="32"/>
      <c r="E94" s="89"/>
      <c r="F94" s="89"/>
      <c r="G94" s="89"/>
      <c r="H94" s="89"/>
      <c r="I94" s="89">
        <f>SUM(H93:H93)</f>
        <v>0.25</v>
      </c>
      <c r="J94" s="89"/>
      <c r="K94" s="157"/>
      <c r="L94" s="157"/>
      <c r="M94" s="158"/>
      <c r="O94" s="82">
        <f t="shared" si="5"/>
        <v>0</v>
      </c>
    </row>
    <row r="95" spans="1:15" ht="15" customHeight="1" x14ac:dyDescent="0.2">
      <c r="A95" s="30"/>
      <c r="B95" s="39"/>
      <c r="C95" s="32"/>
      <c r="D95" s="32"/>
      <c r="E95" s="89"/>
      <c r="F95" s="89"/>
      <c r="G95" s="89"/>
      <c r="H95" s="89"/>
      <c r="I95" s="89"/>
      <c r="J95" s="89"/>
      <c r="K95" s="157"/>
      <c r="L95" s="157"/>
      <c r="M95" s="158"/>
      <c r="O95" s="82">
        <f t="shared" si="5"/>
        <v>0</v>
      </c>
    </row>
    <row r="96" spans="1:15" ht="15" customHeight="1" x14ac:dyDescent="0.2">
      <c r="A96" s="30"/>
      <c r="B96" s="39"/>
      <c r="C96" s="32"/>
      <c r="D96" s="32"/>
      <c r="E96" s="89"/>
      <c r="F96" s="89"/>
      <c r="G96" s="89"/>
      <c r="H96" s="89"/>
      <c r="I96" s="89"/>
      <c r="J96" s="89"/>
      <c r="K96" s="157"/>
      <c r="L96" s="157"/>
      <c r="M96" s="158"/>
      <c r="O96" s="82">
        <f t="shared" si="5"/>
        <v>0</v>
      </c>
    </row>
    <row r="97" spans="1:15" ht="15" customHeight="1" x14ac:dyDescent="0.2">
      <c r="A97" s="30"/>
      <c r="B97" s="39"/>
      <c r="C97" s="32"/>
      <c r="D97" s="32"/>
      <c r="E97" s="89"/>
      <c r="F97" s="89"/>
      <c r="G97" s="89"/>
      <c r="H97" s="89"/>
      <c r="I97" s="89"/>
      <c r="J97" s="89"/>
      <c r="K97" s="157"/>
      <c r="L97" s="157"/>
      <c r="M97" s="158"/>
      <c r="O97" s="82">
        <f t="shared" si="5"/>
        <v>0</v>
      </c>
    </row>
    <row r="98" spans="1:15" ht="15" customHeight="1" x14ac:dyDescent="0.2">
      <c r="A98" s="30"/>
      <c r="B98" s="39"/>
      <c r="C98" s="32"/>
      <c r="D98" s="32"/>
      <c r="E98" s="89"/>
      <c r="F98" s="89"/>
      <c r="G98" s="89"/>
      <c r="H98" s="89"/>
      <c r="I98" s="89"/>
      <c r="J98" s="89"/>
      <c r="K98" s="157"/>
      <c r="L98" s="157"/>
      <c r="M98" s="158"/>
      <c r="O98" s="82">
        <f t="shared" si="5"/>
        <v>0</v>
      </c>
    </row>
    <row r="99" spans="1:15" ht="15" customHeight="1" x14ac:dyDescent="0.2">
      <c r="A99" s="30"/>
      <c r="B99" s="39"/>
      <c r="C99" s="32"/>
      <c r="D99" s="32"/>
      <c r="E99" s="89"/>
      <c r="F99" s="89"/>
      <c r="G99" s="89"/>
      <c r="H99" s="89"/>
      <c r="I99" s="89"/>
      <c r="J99" s="89"/>
      <c r="K99" s="157"/>
      <c r="L99" s="157"/>
      <c r="M99" s="158"/>
      <c r="O99" s="82">
        <f t="shared" si="5"/>
        <v>0</v>
      </c>
    </row>
    <row r="100" spans="1:15" ht="15" customHeight="1" x14ac:dyDescent="0.2">
      <c r="A100" s="30" t="s">
        <v>149</v>
      </c>
      <c r="B100" s="39" t="s">
        <v>35</v>
      </c>
      <c r="C100" s="32" t="s">
        <v>5</v>
      </c>
      <c r="D100" s="32"/>
      <c r="E100" s="89"/>
      <c r="F100" s="89"/>
      <c r="G100" s="89"/>
      <c r="H100" s="89"/>
      <c r="I100" s="89"/>
      <c r="J100" s="89">
        <f>SUM(I101:I116)</f>
        <v>79.560000000000016</v>
      </c>
      <c r="K100" s="157">
        <v>85</v>
      </c>
      <c r="L100" s="157">
        <v>220</v>
      </c>
      <c r="M100" s="158">
        <f>+L100*K100</f>
        <v>18700</v>
      </c>
      <c r="O100" s="82">
        <f t="shared" si="5"/>
        <v>5.4399999999999835</v>
      </c>
    </row>
    <row r="101" spans="1:15" s="5" customFormat="1" ht="16.149999999999999" customHeight="1" x14ac:dyDescent="0.2">
      <c r="A101" s="30"/>
      <c r="B101" s="98" t="s">
        <v>464</v>
      </c>
      <c r="C101" s="32"/>
      <c r="D101" s="32"/>
      <c r="E101" s="89"/>
      <c r="F101" s="89"/>
      <c r="G101" s="89"/>
      <c r="H101" s="89">
        <f t="shared" ref="H101:H115" si="11">PRODUCT(D101:G101)</f>
        <v>0</v>
      </c>
      <c r="I101" s="89"/>
      <c r="K101" s="157"/>
      <c r="L101" s="157"/>
      <c r="M101" s="158"/>
      <c r="O101" s="82">
        <f t="shared" si="5"/>
        <v>0</v>
      </c>
    </row>
    <row r="102" spans="1:15" s="5" customFormat="1" ht="16.149999999999999" customHeight="1" x14ac:dyDescent="0.2">
      <c r="A102" s="30"/>
      <c r="B102" s="36" t="s">
        <v>461</v>
      </c>
      <c r="C102" s="32"/>
      <c r="D102" s="32">
        <v>2</v>
      </c>
      <c r="E102" s="89">
        <v>9.8000000000000007</v>
      </c>
      <c r="F102" s="89">
        <v>0.4</v>
      </c>
      <c r="G102" s="89">
        <v>1.3</v>
      </c>
      <c r="H102" s="89">
        <f t="shared" si="11"/>
        <v>10.192000000000002</v>
      </c>
      <c r="I102" s="89"/>
      <c r="J102" s="89"/>
      <c r="K102" s="157"/>
      <c r="L102" s="157"/>
      <c r="M102" s="158"/>
      <c r="O102" s="82">
        <f t="shared" si="5"/>
        <v>0</v>
      </c>
    </row>
    <row r="103" spans="1:15" s="5" customFormat="1" ht="16.149999999999999" customHeight="1" x14ac:dyDescent="0.2">
      <c r="A103" s="30"/>
      <c r="B103" s="36"/>
      <c r="C103" s="32"/>
      <c r="D103" s="32">
        <v>2</v>
      </c>
      <c r="E103" s="89">
        <f>21.4-0.4*2</f>
        <v>20.599999999999998</v>
      </c>
      <c r="F103" s="89">
        <v>0.4</v>
      </c>
      <c r="G103" s="89">
        <v>1.3</v>
      </c>
      <c r="H103" s="89">
        <f t="shared" si="11"/>
        <v>21.424000000000003</v>
      </c>
      <c r="I103" s="89"/>
      <c r="J103" s="89"/>
      <c r="K103" s="157"/>
      <c r="L103" s="157"/>
      <c r="M103" s="158"/>
      <c r="O103" s="82">
        <f t="shared" si="5"/>
        <v>0</v>
      </c>
    </row>
    <row r="104" spans="1:15" s="5" customFormat="1" ht="16.149999999999999" customHeight="1" x14ac:dyDescent="0.2">
      <c r="A104" s="30"/>
      <c r="B104" s="36"/>
      <c r="C104" s="32"/>
      <c r="D104" s="32"/>
      <c r="E104" s="89"/>
      <c r="F104" s="89"/>
      <c r="G104" s="89"/>
      <c r="H104" s="89">
        <f t="shared" si="11"/>
        <v>0</v>
      </c>
      <c r="I104" s="89">
        <f>SUM(H102:H103)</f>
        <v>31.616000000000007</v>
      </c>
      <c r="J104" s="89"/>
      <c r="K104" s="157"/>
      <c r="L104" s="157"/>
      <c r="M104" s="158"/>
      <c r="O104" s="82">
        <f t="shared" si="5"/>
        <v>0</v>
      </c>
    </row>
    <row r="105" spans="1:15" s="5" customFormat="1" ht="16.149999999999999" customHeight="1" x14ac:dyDescent="0.2">
      <c r="A105" s="30"/>
      <c r="B105" s="98" t="s">
        <v>465</v>
      </c>
      <c r="C105" s="32"/>
      <c r="D105" s="32"/>
      <c r="E105" s="89"/>
      <c r="F105" s="89"/>
      <c r="G105" s="89"/>
      <c r="H105" s="89">
        <f t="shared" si="11"/>
        <v>0</v>
      </c>
      <c r="I105" s="89"/>
      <c r="J105" s="89"/>
      <c r="K105" s="157"/>
      <c r="L105" s="157"/>
      <c r="M105" s="158"/>
      <c r="O105" s="82">
        <f t="shared" si="5"/>
        <v>0</v>
      </c>
    </row>
    <row r="106" spans="1:15" s="5" customFormat="1" ht="16.149999999999999" customHeight="1" x14ac:dyDescent="0.2">
      <c r="A106" s="30"/>
      <c r="B106" s="36" t="s">
        <v>461</v>
      </c>
      <c r="C106" s="32"/>
      <c r="D106" s="32">
        <v>2</v>
      </c>
      <c r="E106" s="89">
        <f>12.7+0.1*2</f>
        <v>12.899999999999999</v>
      </c>
      <c r="F106" s="89">
        <v>0.4</v>
      </c>
      <c r="G106" s="89">
        <v>1.3</v>
      </c>
      <c r="H106" s="89">
        <f t="shared" si="11"/>
        <v>13.416</v>
      </c>
      <c r="I106" s="89"/>
      <c r="J106" s="89"/>
      <c r="K106" s="157"/>
      <c r="L106" s="157"/>
      <c r="M106" s="158"/>
      <c r="O106" s="82">
        <f t="shared" si="5"/>
        <v>0</v>
      </c>
    </row>
    <row r="107" spans="1:15" s="5" customFormat="1" ht="16.149999999999999" customHeight="1" x14ac:dyDescent="0.2">
      <c r="A107" s="30"/>
      <c r="B107" s="36"/>
      <c r="C107" s="32"/>
      <c r="D107" s="32">
        <v>2</v>
      </c>
      <c r="E107" s="89">
        <f>10.8-0.4*2</f>
        <v>10</v>
      </c>
      <c r="F107" s="89">
        <v>0.4</v>
      </c>
      <c r="G107" s="89">
        <v>1.3</v>
      </c>
      <c r="H107" s="89">
        <f t="shared" si="11"/>
        <v>10.4</v>
      </c>
      <c r="I107" s="89"/>
      <c r="J107" s="89"/>
      <c r="K107" s="157"/>
      <c r="L107" s="157"/>
      <c r="M107" s="158"/>
      <c r="O107" s="82">
        <f t="shared" si="5"/>
        <v>0</v>
      </c>
    </row>
    <row r="108" spans="1:15" s="5" customFormat="1" ht="16.149999999999999" customHeight="1" x14ac:dyDescent="0.2">
      <c r="A108" s="30"/>
      <c r="B108" s="36"/>
      <c r="C108" s="32"/>
      <c r="D108" s="32"/>
      <c r="E108" s="89"/>
      <c r="F108" s="89"/>
      <c r="G108" s="89"/>
      <c r="H108" s="89">
        <f t="shared" si="11"/>
        <v>0</v>
      </c>
      <c r="I108" s="89">
        <f>SUM(H106:H107)</f>
        <v>23.816000000000003</v>
      </c>
      <c r="J108" s="89"/>
      <c r="K108" s="157"/>
      <c r="L108" s="157"/>
      <c r="M108" s="158"/>
      <c r="O108" s="82">
        <f t="shared" si="5"/>
        <v>0</v>
      </c>
    </row>
    <row r="109" spans="1:15" s="5" customFormat="1" ht="16.149999999999999" customHeight="1" x14ac:dyDescent="0.2">
      <c r="A109" s="30"/>
      <c r="B109" s="98" t="s">
        <v>466</v>
      </c>
      <c r="C109" s="32"/>
      <c r="D109" s="32"/>
      <c r="E109" s="89"/>
      <c r="F109" s="89"/>
      <c r="G109" s="89"/>
      <c r="H109" s="89">
        <f t="shared" si="11"/>
        <v>0</v>
      </c>
      <c r="I109" s="89"/>
      <c r="J109" s="89"/>
      <c r="K109" s="157"/>
      <c r="L109" s="157"/>
      <c r="M109" s="158"/>
      <c r="O109" s="82">
        <f t="shared" si="5"/>
        <v>0</v>
      </c>
    </row>
    <row r="110" spans="1:15" s="5" customFormat="1" ht="16.149999999999999" customHeight="1" x14ac:dyDescent="0.2">
      <c r="A110" s="30"/>
      <c r="B110" s="36" t="s">
        <v>461</v>
      </c>
      <c r="C110" s="32"/>
      <c r="D110" s="32">
        <v>2</v>
      </c>
      <c r="E110" s="89">
        <f>8.8+0.1*2</f>
        <v>9</v>
      </c>
      <c r="F110" s="89">
        <v>0.4</v>
      </c>
      <c r="G110" s="89">
        <v>1.3</v>
      </c>
      <c r="H110" s="89">
        <f t="shared" si="11"/>
        <v>9.3600000000000012</v>
      </c>
      <c r="I110" s="89"/>
      <c r="J110" s="89"/>
      <c r="K110" s="157"/>
      <c r="L110" s="157"/>
      <c r="M110" s="158"/>
      <c r="O110" s="82">
        <f t="shared" si="5"/>
        <v>0</v>
      </c>
    </row>
    <row r="111" spans="1:15" s="5" customFormat="1" ht="16.149999999999999" customHeight="1" x14ac:dyDescent="0.2">
      <c r="A111" s="30"/>
      <c r="B111" s="36"/>
      <c r="C111" s="32"/>
      <c r="D111" s="32">
        <v>2</v>
      </c>
      <c r="E111" s="89">
        <f>9.8-0.4*2</f>
        <v>9</v>
      </c>
      <c r="F111" s="89">
        <v>0.4</v>
      </c>
      <c r="G111" s="89">
        <v>1.3</v>
      </c>
      <c r="H111" s="89">
        <f t="shared" si="11"/>
        <v>9.3600000000000012</v>
      </c>
      <c r="I111" s="89"/>
      <c r="J111" s="89"/>
      <c r="K111" s="157"/>
      <c r="L111" s="157"/>
      <c r="M111" s="158"/>
      <c r="O111" s="82">
        <f t="shared" si="5"/>
        <v>0</v>
      </c>
    </row>
    <row r="112" spans="1:15" s="5" customFormat="1" ht="16.149999999999999" customHeight="1" x14ac:dyDescent="0.2">
      <c r="A112" s="30"/>
      <c r="B112" s="36"/>
      <c r="C112" s="32"/>
      <c r="D112" s="32"/>
      <c r="E112" s="89"/>
      <c r="F112" s="89"/>
      <c r="G112" s="89"/>
      <c r="H112" s="89">
        <f t="shared" si="11"/>
        <v>0</v>
      </c>
      <c r="I112" s="89">
        <f>SUM(H110:H111)</f>
        <v>18.720000000000002</v>
      </c>
      <c r="J112" s="89"/>
      <c r="K112" s="157"/>
      <c r="L112" s="157"/>
      <c r="M112" s="158"/>
      <c r="O112" s="82">
        <f t="shared" si="5"/>
        <v>0</v>
      </c>
    </row>
    <row r="113" spans="1:15" s="5" customFormat="1" ht="16.149999999999999" customHeight="1" x14ac:dyDescent="0.2">
      <c r="A113" s="30"/>
      <c r="B113" s="98" t="s">
        <v>467</v>
      </c>
      <c r="C113" s="32"/>
      <c r="D113" s="32"/>
      <c r="E113" s="89"/>
      <c r="F113" s="89"/>
      <c r="G113" s="89"/>
      <c r="H113" s="89">
        <f t="shared" si="11"/>
        <v>0</v>
      </c>
      <c r="I113" s="89"/>
      <c r="J113" s="89"/>
      <c r="K113" s="157"/>
      <c r="L113" s="157"/>
      <c r="M113" s="158"/>
      <c r="O113" s="82">
        <f t="shared" si="5"/>
        <v>0</v>
      </c>
    </row>
    <row r="114" spans="1:15" s="5" customFormat="1" ht="16.149999999999999" customHeight="1" x14ac:dyDescent="0.2">
      <c r="A114" s="30"/>
      <c r="B114" s="36" t="s">
        <v>461</v>
      </c>
      <c r="C114" s="32"/>
      <c r="D114" s="32">
        <v>2</v>
      </c>
      <c r="E114" s="89">
        <f>2.4+0.1*2</f>
        <v>2.6</v>
      </c>
      <c r="F114" s="89">
        <v>0.4</v>
      </c>
      <c r="G114" s="89">
        <v>1.3</v>
      </c>
      <c r="H114" s="89">
        <f t="shared" si="11"/>
        <v>2.7040000000000002</v>
      </c>
      <c r="I114" s="89"/>
      <c r="J114" s="89"/>
      <c r="K114" s="157"/>
      <c r="L114" s="157"/>
      <c r="M114" s="158"/>
      <c r="O114" s="82">
        <f t="shared" si="5"/>
        <v>0</v>
      </c>
    </row>
    <row r="115" spans="1:15" s="5" customFormat="1" ht="16.149999999999999" customHeight="1" x14ac:dyDescent="0.2">
      <c r="A115" s="30"/>
      <c r="B115" s="36"/>
      <c r="C115" s="32"/>
      <c r="D115" s="32">
        <v>2</v>
      </c>
      <c r="E115" s="89">
        <f>3.4-0.4*2</f>
        <v>2.5999999999999996</v>
      </c>
      <c r="F115" s="89">
        <v>0.4</v>
      </c>
      <c r="G115" s="89">
        <v>1.3</v>
      </c>
      <c r="H115" s="89">
        <f t="shared" si="11"/>
        <v>2.7039999999999997</v>
      </c>
      <c r="I115" s="89"/>
      <c r="J115" s="89"/>
      <c r="K115" s="157"/>
      <c r="L115" s="157"/>
      <c r="M115" s="158"/>
      <c r="O115" s="82">
        <f t="shared" si="5"/>
        <v>0</v>
      </c>
    </row>
    <row r="116" spans="1:15" s="5" customFormat="1" ht="16.149999999999999" customHeight="1" x14ac:dyDescent="0.2">
      <c r="A116" s="30"/>
      <c r="B116" s="36"/>
      <c r="C116" s="32"/>
      <c r="D116" s="32"/>
      <c r="E116" s="89"/>
      <c r="F116" s="89"/>
      <c r="G116" s="89"/>
      <c r="H116" s="89"/>
      <c r="I116" s="89">
        <f>SUM(H114:H115)</f>
        <v>5.4079999999999995</v>
      </c>
      <c r="J116" s="89"/>
      <c r="K116" s="157"/>
      <c r="L116" s="157"/>
      <c r="M116" s="158"/>
      <c r="O116" s="82">
        <f t="shared" si="5"/>
        <v>0</v>
      </c>
    </row>
    <row r="117" spans="1:15" ht="15" customHeight="1" x14ac:dyDescent="0.2">
      <c r="A117" s="30"/>
      <c r="B117" s="39"/>
      <c r="C117" s="32"/>
      <c r="D117" s="32"/>
      <c r="E117" s="89"/>
      <c r="F117" s="89"/>
      <c r="G117" s="89"/>
      <c r="H117" s="89"/>
      <c r="I117" s="89"/>
      <c r="J117" s="89"/>
      <c r="K117" s="157"/>
      <c r="L117" s="157"/>
      <c r="M117" s="158"/>
      <c r="O117" s="82">
        <f t="shared" si="5"/>
        <v>0</v>
      </c>
    </row>
    <row r="118" spans="1:15" ht="15" customHeight="1" x14ac:dyDescent="0.2">
      <c r="A118" s="30" t="s">
        <v>150</v>
      </c>
      <c r="B118" s="39" t="s">
        <v>78</v>
      </c>
      <c r="C118" s="32" t="s">
        <v>4</v>
      </c>
      <c r="D118" s="32"/>
      <c r="E118" s="89"/>
      <c r="F118" s="89"/>
      <c r="G118" s="89"/>
      <c r="H118" s="89"/>
      <c r="I118" s="89"/>
      <c r="J118" s="89">
        <f>SUM(I122:I134)</f>
        <v>91.799999999999983</v>
      </c>
      <c r="K118" s="157">
        <v>96</v>
      </c>
      <c r="L118" s="157">
        <v>50</v>
      </c>
      <c r="M118" s="158">
        <f>+L118*K118</f>
        <v>4800</v>
      </c>
      <c r="O118" s="82">
        <f t="shared" si="5"/>
        <v>4.2000000000000171</v>
      </c>
    </row>
    <row r="119" spans="1:15" s="5" customFormat="1" ht="16.149999999999999" customHeight="1" x14ac:dyDescent="0.2">
      <c r="A119" s="30"/>
      <c r="B119" s="98" t="s">
        <v>464</v>
      </c>
      <c r="C119" s="32"/>
      <c r="D119" s="32"/>
      <c r="E119" s="89"/>
      <c r="F119" s="89"/>
      <c r="G119" s="89"/>
      <c r="H119" s="89">
        <f t="shared" ref="H119:H133" si="12">PRODUCT(D119:G119)</f>
        <v>0</v>
      </c>
      <c r="I119" s="89"/>
      <c r="K119" s="157"/>
      <c r="L119" s="157"/>
      <c r="M119" s="158"/>
      <c r="O119" s="82">
        <f t="shared" si="5"/>
        <v>0</v>
      </c>
    </row>
    <row r="120" spans="1:15" s="5" customFormat="1" ht="16.149999999999999" customHeight="1" x14ac:dyDescent="0.2">
      <c r="A120" s="30"/>
      <c r="B120" s="36" t="s">
        <v>461</v>
      </c>
      <c r="C120" s="32"/>
      <c r="D120" s="32">
        <v>2</v>
      </c>
      <c r="E120" s="89">
        <v>9.8000000000000007</v>
      </c>
      <c r="F120" s="89">
        <v>0.6</v>
      </c>
      <c r="G120" s="89"/>
      <c r="H120" s="89">
        <f t="shared" si="12"/>
        <v>11.76</v>
      </c>
      <c r="I120" s="89"/>
      <c r="J120" s="89"/>
      <c r="K120" s="157"/>
      <c r="L120" s="157"/>
      <c r="M120" s="158"/>
      <c r="O120" s="82">
        <f t="shared" si="5"/>
        <v>0</v>
      </c>
    </row>
    <row r="121" spans="1:15" s="5" customFormat="1" ht="16.149999999999999" customHeight="1" x14ac:dyDescent="0.2">
      <c r="A121" s="30"/>
      <c r="B121" s="36"/>
      <c r="C121" s="32"/>
      <c r="D121" s="32">
        <v>2</v>
      </c>
      <c r="E121" s="89">
        <f>21.4-0.4*2</f>
        <v>20.599999999999998</v>
      </c>
      <c r="F121" s="89">
        <v>0.6</v>
      </c>
      <c r="G121" s="89"/>
      <c r="H121" s="89">
        <f t="shared" si="12"/>
        <v>24.719999999999995</v>
      </c>
      <c r="I121" s="89"/>
      <c r="J121" s="89"/>
      <c r="K121" s="157"/>
      <c r="L121" s="157"/>
      <c r="M121" s="158"/>
      <c r="O121" s="82">
        <f t="shared" si="5"/>
        <v>0</v>
      </c>
    </row>
    <row r="122" spans="1:15" s="5" customFormat="1" ht="16.149999999999999" customHeight="1" x14ac:dyDescent="0.2">
      <c r="A122" s="30"/>
      <c r="B122" s="36"/>
      <c r="C122" s="32"/>
      <c r="D122" s="32"/>
      <c r="E122" s="89"/>
      <c r="F122" s="89"/>
      <c r="G122" s="89"/>
      <c r="H122" s="89">
        <f t="shared" si="12"/>
        <v>0</v>
      </c>
      <c r="I122" s="89">
        <f>SUM(H120:H121)</f>
        <v>36.479999999999997</v>
      </c>
      <c r="J122" s="89"/>
      <c r="K122" s="157"/>
      <c r="L122" s="157"/>
      <c r="M122" s="158"/>
      <c r="O122" s="82">
        <f t="shared" si="5"/>
        <v>0</v>
      </c>
    </row>
    <row r="123" spans="1:15" s="5" customFormat="1" ht="16.149999999999999" customHeight="1" x14ac:dyDescent="0.2">
      <c r="A123" s="30"/>
      <c r="B123" s="98" t="s">
        <v>465</v>
      </c>
      <c r="C123" s="32"/>
      <c r="D123" s="32"/>
      <c r="E123" s="89"/>
      <c r="F123" s="89"/>
      <c r="G123" s="89"/>
      <c r="H123" s="89">
        <f t="shared" si="12"/>
        <v>0</v>
      </c>
      <c r="I123" s="89"/>
      <c r="J123" s="89"/>
      <c r="K123" s="157"/>
      <c r="L123" s="157"/>
      <c r="M123" s="158"/>
      <c r="O123" s="82">
        <f t="shared" si="5"/>
        <v>0</v>
      </c>
    </row>
    <row r="124" spans="1:15" s="5" customFormat="1" ht="16.149999999999999" customHeight="1" x14ac:dyDescent="0.2">
      <c r="A124" s="30"/>
      <c r="B124" s="36" t="s">
        <v>461</v>
      </c>
      <c r="C124" s="32"/>
      <c r="D124" s="32">
        <v>2</v>
      </c>
      <c r="E124" s="89">
        <f>12.7+0.1*2</f>
        <v>12.899999999999999</v>
      </c>
      <c r="F124" s="89">
        <v>0.6</v>
      </c>
      <c r="G124" s="89"/>
      <c r="H124" s="89">
        <f t="shared" si="12"/>
        <v>15.479999999999997</v>
      </c>
      <c r="I124" s="89"/>
      <c r="J124" s="89"/>
      <c r="K124" s="157"/>
      <c r="L124" s="157"/>
      <c r="M124" s="158"/>
      <c r="O124" s="82">
        <f t="shared" si="5"/>
        <v>0</v>
      </c>
    </row>
    <row r="125" spans="1:15" s="5" customFormat="1" ht="16.149999999999999" customHeight="1" x14ac:dyDescent="0.2">
      <c r="A125" s="30"/>
      <c r="B125" s="36"/>
      <c r="C125" s="32"/>
      <c r="D125" s="32">
        <v>2</v>
      </c>
      <c r="E125" s="89">
        <f>10.8-0.4*2</f>
        <v>10</v>
      </c>
      <c r="F125" s="89">
        <v>0.6</v>
      </c>
      <c r="G125" s="89"/>
      <c r="H125" s="89">
        <f t="shared" si="12"/>
        <v>12</v>
      </c>
      <c r="I125" s="89"/>
      <c r="J125" s="89"/>
      <c r="K125" s="157"/>
      <c r="L125" s="157"/>
      <c r="M125" s="158"/>
      <c r="O125" s="82">
        <f t="shared" si="5"/>
        <v>0</v>
      </c>
    </row>
    <row r="126" spans="1:15" s="5" customFormat="1" ht="16.149999999999999" customHeight="1" x14ac:dyDescent="0.2">
      <c r="A126" s="30"/>
      <c r="B126" s="36"/>
      <c r="C126" s="32"/>
      <c r="D126" s="32"/>
      <c r="E126" s="89"/>
      <c r="F126" s="89"/>
      <c r="G126" s="89"/>
      <c r="H126" s="89">
        <f t="shared" si="12"/>
        <v>0</v>
      </c>
      <c r="I126" s="89">
        <f>SUM(H124:H125)</f>
        <v>27.479999999999997</v>
      </c>
      <c r="J126" s="89"/>
      <c r="K126" s="157"/>
      <c r="L126" s="157"/>
      <c r="M126" s="158"/>
      <c r="O126" s="82">
        <f t="shared" si="5"/>
        <v>0</v>
      </c>
    </row>
    <row r="127" spans="1:15" s="5" customFormat="1" ht="16.149999999999999" customHeight="1" x14ac:dyDescent="0.2">
      <c r="A127" s="30"/>
      <c r="B127" s="98" t="s">
        <v>466</v>
      </c>
      <c r="C127" s="32"/>
      <c r="D127" s="32"/>
      <c r="E127" s="89"/>
      <c r="F127" s="89"/>
      <c r="G127" s="89"/>
      <c r="H127" s="89">
        <f t="shared" si="12"/>
        <v>0</v>
      </c>
      <c r="I127" s="89"/>
      <c r="J127" s="89"/>
      <c r="K127" s="157"/>
      <c r="L127" s="157"/>
      <c r="M127" s="158"/>
      <c r="O127" s="82">
        <f t="shared" si="5"/>
        <v>0</v>
      </c>
    </row>
    <row r="128" spans="1:15" s="5" customFormat="1" ht="16.149999999999999" customHeight="1" x14ac:dyDescent="0.2">
      <c r="A128" s="30"/>
      <c r="B128" s="36" t="s">
        <v>461</v>
      </c>
      <c r="C128" s="32"/>
      <c r="D128" s="32">
        <v>2</v>
      </c>
      <c r="E128" s="89">
        <f>8.8+0.1*2</f>
        <v>9</v>
      </c>
      <c r="F128" s="89">
        <v>0.6</v>
      </c>
      <c r="G128" s="89"/>
      <c r="H128" s="89">
        <f t="shared" si="12"/>
        <v>10.799999999999999</v>
      </c>
      <c r="I128" s="89"/>
      <c r="J128" s="89"/>
      <c r="K128" s="157"/>
      <c r="L128" s="157"/>
      <c r="M128" s="158"/>
      <c r="O128" s="82">
        <f t="shared" si="5"/>
        <v>0</v>
      </c>
    </row>
    <row r="129" spans="1:15" s="5" customFormat="1" ht="16.149999999999999" customHeight="1" x14ac:dyDescent="0.2">
      <c r="A129" s="30"/>
      <c r="B129" s="36"/>
      <c r="C129" s="32"/>
      <c r="D129" s="32">
        <v>2</v>
      </c>
      <c r="E129" s="89">
        <f>9.8-0.4*2</f>
        <v>9</v>
      </c>
      <c r="F129" s="89">
        <v>0.6</v>
      </c>
      <c r="G129" s="89"/>
      <c r="H129" s="89">
        <f t="shared" si="12"/>
        <v>10.799999999999999</v>
      </c>
      <c r="I129" s="89"/>
      <c r="J129" s="89"/>
      <c r="K129" s="157"/>
      <c r="L129" s="157"/>
      <c r="M129" s="158"/>
      <c r="O129" s="82">
        <f t="shared" si="5"/>
        <v>0</v>
      </c>
    </row>
    <row r="130" spans="1:15" s="5" customFormat="1" ht="16.149999999999999" customHeight="1" x14ac:dyDescent="0.2">
      <c r="A130" s="30"/>
      <c r="B130" s="36"/>
      <c r="C130" s="32"/>
      <c r="D130" s="32"/>
      <c r="E130" s="89"/>
      <c r="F130" s="89"/>
      <c r="G130" s="89"/>
      <c r="H130" s="89">
        <f t="shared" si="12"/>
        <v>0</v>
      </c>
      <c r="I130" s="89">
        <f>SUM(H128:H129)</f>
        <v>21.599999999999998</v>
      </c>
      <c r="J130" s="89"/>
      <c r="K130" s="157"/>
      <c r="L130" s="157"/>
      <c r="M130" s="158"/>
      <c r="O130" s="82">
        <f t="shared" si="5"/>
        <v>0</v>
      </c>
    </row>
    <row r="131" spans="1:15" s="5" customFormat="1" ht="16.149999999999999" customHeight="1" x14ac:dyDescent="0.2">
      <c r="A131" s="30"/>
      <c r="B131" s="98" t="s">
        <v>467</v>
      </c>
      <c r="C131" s="32"/>
      <c r="D131" s="32"/>
      <c r="E131" s="89"/>
      <c r="F131" s="89"/>
      <c r="G131" s="89"/>
      <c r="H131" s="89">
        <f t="shared" si="12"/>
        <v>0</v>
      </c>
      <c r="I131" s="89"/>
      <c r="J131" s="89"/>
      <c r="K131" s="157"/>
      <c r="L131" s="157"/>
      <c r="M131" s="158"/>
      <c r="O131" s="82">
        <f t="shared" si="5"/>
        <v>0</v>
      </c>
    </row>
    <row r="132" spans="1:15" s="5" customFormat="1" ht="16.149999999999999" customHeight="1" x14ac:dyDescent="0.2">
      <c r="A132" s="30"/>
      <c r="B132" s="36" t="s">
        <v>461</v>
      </c>
      <c r="C132" s="32"/>
      <c r="D132" s="32">
        <v>2</v>
      </c>
      <c r="E132" s="89">
        <f>2.4+0.1*2</f>
        <v>2.6</v>
      </c>
      <c r="F132" s="89">
        <v>0.6</v>
      </c>
      <c r="G132" s="89"/>
      <c r="H132" s="89">
        <f t="shared" si="12"/>
        <v>3.12</v>
      </c>
      <c r="I132" s="89"/>
      <c r="J132" s="89"/>
      <c r="K132" s="157"/>
      <c r="L132" s="157"/>
      <c r="M132" s="158"/>
      <c r="O132" s="82">
        <f t="shared" si="5"/>
        <v>0</v>
      </c>
    </row>
    <row r="133" spans="1:15" s="5" customFormat="1" ht="16.149999999999999" customHeight="1" x14ac:dyDescent="0.2">
      <c r="A133" s="30"/>
      <c r="B133" s="36"/>
      <c r="C133" s="32"/>
      <c r="D133" s="32">
        <v>2</v>
      </c>
      <c r="E133" s="89">
        <f>3.4-0.4*2</f>
        <v>2.5999999999999996</v>
      </c>
      <c r="F133" s="89">
        <v>0.6</v>
      </c>
      <c r="G133" s="89"/>
      <c r="H133" s="89">
        <f t="shared" si="12"/>
        <v>3.1199999999999997</v>
      </c>
      <c r="I133" s="89"/>
      <c r="J133" s="89"/>
      <c r="K133" s="157"/>
      <c r="L133" s="157"/>
      <c r="M133" s="158"/>
      <c r="O133" s="82">
        <f t="shared" si="5"/>
        <v>0</v>
      </c>
    </row>
    <row r="134" spans="1:15" s="5" customFormat="1" ht="16.149999999999999" customHeight="1" x14ac:dyDescent="0.2">
      <c r="A134" s="30"/>
      <c r="B134" s="36"/>
      <c r="C134" s="32"/>
      <c r="D134" s="32"/>
      <c r="E134" s="89"/>
      <c r="F134" s="89"/>
      <c r="G134" s="89"/>
      <c r="H134" s="89"/>
      <c r="I134" s="89">
        <f>SUM(H132:H133)</f>
        <v>6.24</v>
      </c>
      <c r="J134" s="89"/>
      <c r="K134" s="157"/>
      <c r="L134" s="157"/>
      <c r="M134" s="158"/>
      <c r="O134" s="82">
        <f t="shared" ref="O134:O197" si="13">K134-J134</f>
        <v>0</v>
      </c>
    </row>
    <row r="135" spans="1:15" ht="18" customHeight="1" x14ac:dyDescent="0.2">
      <c r="A135" s="250" t="s">
        <v>97</v>
      </c>
      <c r="B135" s="251"/>
      <c r="C135" s="251"/>
      <c r="D135" s="251"/>
      <c r="E135" s="251"/>
      <c r="F135" s="251"/>
      <c r="G135" s="251"/>
      <c r="H135" s="251"/>
      <c r="I135" s="251"/>
      <c r="J135" s="251"/>
      <c r="K135" s="251"/>
      <c r="L135" s="252"/>
      <c r="M135" s="159">
        <f>SUM(M46:M118)</f>
        <v>82600</v>
      </c>
      <c r="O135" s="82">
        <f t="shared" si="13"/>
        <v>0</v>
      </c>
    </row>
    <row r="136" spans="1:15" ht="18" customHeight="1" x14ac:dyDescent="0.2">
      <c r="A136" s="24"/>
      <c r="B136" s="25" t="s">
        <v>151</v>
      </c>
      <c r="C136" s="26"/>
      <c r="D136" s="26"/>
      <c r="E136" s="88"/>
      <c r="F136" s="88"/>
      <c r="G136" s="88"/>
      <c r="H136" s="88"/>
      <c r="I136" s="88"/>
      <c r="J136" s="88"/>
      <c r="K136" s="155"/>
      <c r="L136" s="155"/>
      <c r="M136" s="156"/>
      <c r="O136" s="82">
        <f t="shared" si="13"/>
        <v>0</v>
      </c>
    </row>
    <row r="137" spans="1:15" ht="17.100000000000001" customHeight="1" x14ac:dyDescent="0.2">
      <c r="A137" s="30" t="s">
        <v>152</v>
      </c>
      <c r="B137" s="39" t="s">
        <v>255</v>
      </c>
      <c r="C137" s="32" t="s">
        <v>4</v>
      </c>
      <c r="D137" s="32"/>
      <c r="E137" s="89"/>
      <c r="F137" s="89"/>
      <c r="G137" s="89"/>
      <c r="H137" s="89"/>
      <c r="I137" s="89"/>
      <c r="J137" s="89">
        <f>SUM(I139:I154)</f>
        <v>323.93400000000003</v>
      </c>
      <c r="K137" s="157">
        <v>325</v>
      </c>
      <c r="L137" s="157">
        <v>30</v>
      </c>
      <c r="M137" s="158">
        <f>+L137*K137</f>
        <v>9750</v>
      </c>
      <c r="O137" s="82">
        <f t="shared" si="13"/>
        <v>1.0659999999999741</v>
      </c>
    </row>
    <row r="138" spans="1:15" s="5" customFormat="1" ht="16.149999999999999" customHeight="1" x14ac:dyDescent="0.2">
      <c r="A138" s="30"/>
      <c r="B138" s="98" t="s">
        <v>464</v>
      </c>
      <c r="C138" s="32"/>
      <c r="D138" s="32"/>
      <c r="E138" s="89"/>
      <c r="F138" s="89"/>
      <c r="G138" s="89"/>
      <c r="H138" s="89"/>
      <c r="I138" s="89"/>
      <c r="K138" s="157"/>
      <c r="L138" s="157"/>
      <c r="M138" s="158"/>
      <c r="O138" s="82">
        <f t="shared" si="13"/>
        <v>0</v>
      </c>
    </row>
    <row r="139" spans="1:15" ht="15.95" customHeight="1" x14ac:dyDescent="0.2">
      <c r="A139" s="30"/>
      <c r="B139" s="46"/>
      <c r="C139" s="41"/>
      <c r="D139" s="41">
        <v>2</v>
      </c>
      <c r="E139" s="90">
        <f>9.2-0.45*2-0.2</f>
        <v>8.1</v>
      </c>
      <c r="F139" s="90">
        <f>8.8-0.45</f>
        <v>8.3500000000000014</v>
      </c>
      <c r="G139" s="90"/>
      <c r="H139" s="89">
        <f t="shared" ref="H139:H141" si="14">PRODUCT(D139:G139)</f>
        <v>135.27000000000001</v>
      </c>
      <c r="I139" s="90"/>
      <c r="J139" s="90"/>
      <c r="K139" s="157"/>
      <c r="L139" s="157"/>
      <c r="M139" s="158"/>
      <c r="O139" s="82">
        <f t="shared" si="13"/>
        <v>0</v>
      </c>
    </row>
    <row r="140" spans="1:15" ht="17.100000000000001" customHeight="1" x14ac:dyDescent="0.2">
      <c r="A140" s="30"/>
      <c r="B140" s="39"/>
      <c r="C140" s="32"/>
      <c r="D140" s="32">
        <v>1</v>
      </c>
      <c r="E140" s="89">
        <f>3-0.45*2</f>
        <v>2.1</v>
      </c>
      <c r="F140" s="89">
        <v>0.6</v>
      </c>
      <c r="G140" s="89"/>
      <c r="H140" s="89">
        <f t="shared" si="14"/>
        <v>1.26</v>
      </c>
      <c r="I140" s="89"/>
      <c r="J140" s="89"/>
      <c r="K140" s="157"/>
      <c r="L140" s="157"/>
      <c r="M140" s="158"/>
      <c r="O140" s="82">
        <f t="shared" si="13"/>
        <v>0</v>
      </c>
    </row>
    <row r="141" spans="1:15" ht="17.100000000000001" customHeight="1" x14ac:dyDescent="0.2">
      <c r="A141" s="30"/>
      <c r="B141" s="39"/>
      <c r="C141" s="32"/>
      <c r="D141" s="32">
        <v>1</v>
      </c>
      <c r="E141" s="89">
        <f>6.4-0.45*2-0.2</f>
        <v>5.3</v>
      </c>
      <c r="F141" s="89">
        <v>3.6</v>
      </c>
      <c r="G141" s="89"/>
      <c r="H141" s="89">
        <f t="shared" si="14"/>
        <v>19.079999999999998</v>
      </c>
      <c r="I141" s="89"/>
      <c r="J141" s="89"/>
      <c r="K141" s="157"/>
      <c r="L141" s="157"/>
      <c r="M141" s="158"/>
      <c r="O141" s="82">
        <f t="shared" si="13"/>
        <v>0</v>
      </c>
    </row>
    <row r="142" spans="1:15" ht="17.100000000000001" customHeight="1" x14ac:dyDescent="0.2">
      <c r="A142" s="30"/>
      <c r="B142" s="39"/>
      <c r="C142" s="32"/>
      <c r="D142" s="32"/>
      <c r="E142" s="89"/>
      <c r="F142" s="89"/>
      <c r="G142" s="89"/>
      <c r="H142" s="89"/>
      <c r="I142" s="89">
        <f>SUM(H139:H142)</f>
        <v>155.61000000000001</v>
      </c>
      <c r="J142" s="89"/>
      <c r="K142" s="157"/>
      <c r="L142" s="157"/>
      <c r="M142" s="158"/>
      <c r="O142" s="82">
        <f t="shared" si="13"/>
        <v>0</v>
      </c>
    </row>
    <row r="143" spans="1:15" s="5" customFormat="1" ht="16.149999999999999" customHeight="1" x14ac:dyDescent="0.2">
      <c r="A143" s="30"/>
      <c r="B143" s="98" t="s">
        <v>465</v>
      </c>
      <c r="C143" s="32"/>
      <c r="D143" s="32"/>
      <c r="E143" s="89"/>
      <c r="F143" s="89"/>
      <c r="G143" s="89"/>
      <c r="H143" s="89">
        <f t="shared" ref="H143:H154" si="15">PRODUCT(D143:G143)</f>
        <v>0</v>
      </c>
      <c r="I143" s="89"/>
      <c r="J143" s="89"/>
      <c r="K143" s="157"/>
      <c r="L143" s="157"/>
      <c r="M143" s="158"/>
      <c r="O143" s="82">
        <f t="shared" si="13"/>
        <v>0</v>
      </c>
    </row>
    <row r="144" spans="1:15" ht="15.95" customHeight="1" x14ac:dyDescent="0.2">
      <c r="A144" s="30"/>
      <c r="B144" s="46"/>
      <c r="C144" s="41"/>
      <c r="D144" s="41">
        <v>1</v>
      </c>
      <c r="E144" s="90">
        <f>4.4-0.2</f>
        <v>4.2</v>
      </c>
      <c r="F144" s="90">
        <f>2.7+3.6+0.1*2-0.24*2-0.2</f>
        <v>5.8200000000000012</v>
      </c>
      <c r="G144" s="90"/>
      <c r="H144" s="89">
        <f t="shared" si="15"/>
        <v>24.444000000000006</v>
      </c>
      <c r="I144" s="90"/>
      <c r="J144" s="90"/>
      <c r="K144" s="157"/>
      <c r="L144" s="157"/>
      <c r="M144" s="158"/>
      <c r="O144" s="82">
        <f t="shared" si="13"/>
        <v>0</v>
      </c>
    </row>
    <row r="145" spans="1:15" ht="15.95" customHeight="1" x14ac:dyDescent="0.2">
      <c r="A145" s="30"/>
      <c r="B145" s="46"/>
      <c r="C145" s="41"/>
      <c r="D145" s="41">
        <f>1</f>
        <v>1</v>
      </c>
      <c r="E145" s="90">
        <f>4.4-0.2-0.4</f>
        <v>3.8000000000000003</v>
      </c>
      <c r="F145" s="90">
        <f>3-0.4</f>
        <v>2.6</v>
      </c>
      <c r="G145" s="90"/>
      <c r="H145" s="89">
        <f t="shared" si="15"/>
        <v>9.8800000000000008</v>
      </c>
      <c r="I145" s="90"/>
      <c r="J145" s="90"/>
      <c r="K145" s="157"/>
      <c r="L145" s="157"/>
      <c r="M145" s="158"/>
      <c r="O145" s="82">
        <f t="shared" si="13"/>
        <v>0</v>
      </c>
    </row>
    <row r="146" spans="1:15" ht="15.95" customHeight="1" x14ac:dyDescent="0.2">
      <c r="A146" s="30"/>
      <c r="B146" s="46"/>
      <c r="C146" s="41"/>
      <c r="D146" s="41">
        <v>1</v>
      </c>
      <c r="E146" s="90">
        <f>5.5-0.4*2</f>
        <v>4.7</v>
      </c>
      <c r="F146" s="90">
        <f>10.8-0.4*2-0.2*2</f>
        <v>9.6</v>
      </c>
      <c r="G146" s="90"/>
      <c r="H146" s="89">
        <f t="shared" si="15"/>
        <v>45.12</v>
      </c>
      <c r="I146" s="90"/>
      <c r="J146" s="90"/>
      <c r="K146" s="157"/>
      <c r="L146" s="157"/>
      <c r="M146" s="158"/>
      <c r="O146" s="82">
        <f t="shared" si="13"/>
        <v>0</v>
      </c>
    </row>
    <row r="147" spans="1:15" ht="15.95" customHeight="1" x14ac:dyDescent="0.2">
      <c r="A147" s="30"/>
      <c r="B147" s="46"/>
      <c r="C147" s="41"/>
      <c r="D147" s="41">
        <v>1</v>
      </c>
      <c r="E147" s="90">
        <f>2.6-0.2</f>
        <v>2.4</v>
      </c>
      <c r="F147" s="90">
        <f>7.5-0.4*2</f>
        <v>6.7</v>
      </c>
      <c r="G147" s="90"/>
      <c r="H147" s="89">
        <f t="shared" si="15"/>
        <v>16.079999999999998</v>
      </c>
      <c r="I147" s="90"/>
      <c r="J147" s="90"/>
      <c r="K147" s="157"/>
      <c r="L147" s="157"/>
      <c r="M147" s="158"/>
      <c r="O147" s="82">
        <f t="shared" si="13"/>
        <v>0</v>
      </c>
    </row>
    <row r="148" spans="1:15" ht="15.95" customHeight="1" x14ac:dyDescent="0.2">
      <c r="A148" s="30"/>
      <c r="B148" s="46"/>
      <c r="C148" s="41"/>
      <c r="D148" s="41"/>
      <c r="E148" s="90"/>
      <c r="F148" s="90"/>
      <c r="G148" s="90"/>
      <c r="H148" s="89">
        <f t="shared" si="15"/>
        <v>0</v>
      </c>
      <c r="I148" s="90">
        <f>SUM(H144:H147)</f>
        <v>95.524000000000001</v>
      </c>
      <c r="J148" s="90"/>
      <c r="K148" s="157"/>
      <c r="L148" s="157"/>
      <c r="M148" s="158"/>
      <c r="O148" s="82">
        <f t="shared" si="13"/>
        <v>0</v>
      </c>
    </row>
    <row r="149" spans="1:15" s="5" customFormat="1" ht="16.149999999999999" customHeight="1" x14ac:dyDescent="0.2">
      <c r="A149" s="30"/>
      <c r="B149" s="98" t="s">
        <v>466</v>
      </c>
      <c r="C149" s="32"/>
      <c r="D149" s="32"/>
      <c r="E149" s="89"/>
      <c r="F149" s="89"/>
      <c r="G149" s="89"/>
      <c r="H149" s="89">
        <f t="shared" si="15"/>
        <v>0</v>
      </c>
      <c r="I149" s="89"/>
      <c r="J149" s="89"/>
      <c r="K149" s="157"/>
      <c r="L149" s="157"/>
      <c r="M149" s="158"/>
      <c r="O149" s="82">
        <f t="shared" si="13"/>
        <v>0</v>
      </c>
    </row>
    <row r="150" spans="1:15" ht="15.95" customHeight="1" x14ac:dyDescent="0.2">
      <c r="A150" s="30"/>
      <c r="B150" s="46"/>
      <c r="C150" s="41"/>
      <c r="D150" s="41">
        <v>1</v>
      </c>
      <c r="E150" s="90">
        <f>8.8-0.4*2-0.2</f>
        <v>7.8</v>
      </c>
      <c r="F150" s="90">
        <f>9.8-0.4*2-0.2</f>
        <v>8.8000000000000007</v>
      </c>
      <c r="G150" s="90"/>
      <c r="H150" s="89">
        <f t="shared" si="15"/>
        <v>68.64</v>
      </c>
      <c r="I150" s="90"/>
      <c r="J150" s="90"/>
      <c r="K150" s="157"/>
      <c r="L150" s="157"/>
      <c r="M150" s="158"/>
      <c r="O150" s="82">
        <f t="shared" si="13"/>
        <v>0</v>
      </c>
    </row>
    <row r="151" spans="1:15" ht="15.95" customHeight="1" x14ac:dyDescent="0.2">
      <c r="A151" s="30"/>
      <c r="B151" s="46"/>
      <c r="C151" s="41"/>
      <c r="D151" s="41"/>
      <c r="E151" s="90"/>
      <c r="F151" s="90"/>
      <c r="G151" s="90"/>
      <c r="H151" s="89">
        <f t="shared" si="15"/>
        <v>0</v>
      </c>
      <c r="I151" s="90">
        <f>SUM(H149:H150)</f>
        <v>68.64</v>
      </c>
      <c r="J151" s="90"/>
      <c r="K151" s="157"/>
      <c r="L151" s="157"/>
      <c r="M151" s="158"/>
      <c r="O151" s="82">
        <f t="shared" si="13"/>
        <v>0</v>
      </c>
    </row>
    <row r="152" spans="1:15" s="5" customFormat="1" ht="16.149999999999999" customHeight="1" x14ac:dyDescent="0.2">
      <c r="A152" s="30"/>
      <c r="B152" s="98" t="s">
        <v>467</v>
      </c>
      <c r="C152" s="32"/>
      <c r="D152" s="32"/>
      <c r="E152" s="89"/>
      <c r="F152" s="89"/>
      <c r="G152" s="89"/>
      <c r="H152" s="89">
        <f t="shared" si="15"/>
        <v>0</v>
      </c>
      <c r="I152" s="89"/>
      <c r="J152" s="89"/>
      <c r="K152" s="157"/>
      <c r="L152" s="157"/>
      <c r="M152" s="158"/>
      <c r="O152" s="82">
        <f t="shared" si="13"/>
        <v>0</v>
      </c>
    </row>
    <row r="153" spans="1:15" ht="15.95" customHeight="1" x14ac:dyDescent="0.2">
      <c r="A153" s="30"/>
      <c r="B153" s="46"/>
      <c r="C153" s="41"/>
      <c r="D153" s="41">
        <v>1</v>
      </c>
      <c r="E153" s="90">
        <f>2.4-0.4*2</f>
        <v>1.5999999999999999</v>
      </c>
      <c r="F153" s="90">
        <f>3.4-0.4*2</f>
        <v>2.5999999999999996</v>
      </c>
      <c r="G153" s="90"/>
      <c r="H153" s="89">
        <f t="shared" si="15"/>
        <v>4.1599999999999993</v>
      </c>
      <c r="I153" s="90"/>
      <c r="J153" s="90"/>
      <c r="K153" s="157"/>
      <c r="L153" s="157"/>
      <c r="M153" s="158"/>
      <c r="O153" s="82">
        <f t="shared" si="13"/>
        <v>0</v>
      </c>
    </row>
    <row r="154" spans="1:15" ht="15.95" customHeight="1" x14ac:dyDescent="0.2">
      <c r="A154" s="30"/>
      <c r="B154" s="46"/>
      <c r="C154" s="41"/>
      <c r="D154" s="41"/>
      <c r="E154" s="90"/>
      <c r="F154" s="90"/>
      <c r="G154" s="90"/>
      <c r="H154" s="89">
        <f t="shared" si="15"/>
        <v>0</v>
      </c>
      <c r="I154" s="90">
        <f>SUM(H153)</f>
        <v>4.1599999999999993</v>
      </c>
      <c r="J154" s="90"/>
      <c r="K154" s="157"/>
      <c r="L154" s="157"/>
      <c r="M154" s="158"/>
      <c r="O154" s="82">
        <f t="shared" si="13"/>
        <v>0</v>
      </c>
    </row>
    <row r="155" spans="1:15" s="5" customFormat="1" ht="16.149999999999999" customHeight="1" x14ac:dyDescent="0.2">
      <c r="A155" s="30"/>
      <c r="B155" s="36"/>
      <c r="C155" s="32"/>
      <c r="D155" s="32"/>
      <c r="E155" s="120"/>
      <c r="F155" s="120"/>
      <c r="G155" s="120"/>
      <c r="H155" s="120"/>
      <c r="I155" s="120"/>
      <c r="J155" s="120"/>
      <c r="K155" s="157"/>
      <c r="L155" s="157"/>
      <c r="M155" s="158"/>
      <c r="O155" s="82">
        <f t="shared" si="13"/>
        <v>0</v>
      </c>
    </row>
    <row r="156" spans="1:15" ht="17.100000000000001" customHeight="1" x14ac:dyDescent="0.2">
      <c r="A156" s="30" t="s">
        <v>153</v>
      </c>
      <c r="B156" s="39" t="s">
        <v>288</v>
      </c>
      <c r="C156" s="32" t="s">
        <v>4</v>
      </c>
      <c r="D156" s="32"/>
      <c r="E156" s="89"/>
      <c r="F156" s="89"/>
      <c r="G156" s="89"/>
      <c r="H156" s="89"/>
      <c r="I156" s="89"/>
      <c r="J156" s="89">
        <f>+J137</f>
        <v>323.93400000000003</v>
      </c>
      <c r="K156" s="160">
        <f>+K137</f>
        <v>325</v>
      </c>
      <c r="L156" s="157">
        <v>120</v>
      </c>
      <c r="M156" s="158">
        <f>+L156*K156</f>
        <v>39000</v>
      </c>
      <c r="O156" s="82">
        <f t="shared" si="13"/>
        <v>1.0659999999999741</v>
      </c>
    </row>
    <row r="157" spans="1:15" ht="17.100000000000001" customHeight="1" x14ac:dyDescent="0.2">
      <c r="A157" s="30"/>
      <c r="B157" s="39"/>
      <c r="C157" s="32"/>
      <c r="D157" s="32"/>
      <c r="E157" s="89"/>
      <c r="F157" s="89"/>
      <c r="G157" s="89"/>
      <c r="H157" s="89"/>
      <c r="I157" s="89"/>
      <c r="J157" s="89"/>
      <c r="K157" s="157"/>
      <c r="L157" s="157"/>
      <c r="M157" s="158"/>
      <c r="O157" s="82">
        <f t="shared" si="13"/>
        <v>0</v>
      </c>
    </row>
    <row r="158" spans="1:15" ht="17.100000000000001" customHeight="1" x14ac:dyDescent="0.2">
      <c r="A158" s="30" t="s">
        <v>154</v>
      </c>
      <c r="B158" s="39" t="s">
        <v>80</v>
      </c>
      <c r="C158" s="32" t="s">
        <v>4</v>
      </c>
      <c r="D158" s="32"/>
      <c r="E158" s="89"/>
      <c r="F158" s="89"/>
      <c r="G158" s="89"/>
      <c r="H158" s="89"/>
      <c r="I158" s="89"/>
      <c r="J158" s="89">
        <f>SUM(I159:I172)</f>
        <v>42.6</v>
      </c>
      <c r="K158" s="157">
        <v>44</v>
      </c>
      <c r="L158" s="157">
        <v>35</v>
      </c>
      <c r="M158" s="158">
        <f>+L158*K158</f>
        <v>1540</v>
      </c>
      <c r="O158" s="82">
        <f t="shared" si="13"/>
        <v>1.3999999999999986</v>
      </c>
    </row>
    <row r="159" spans="1:15" s="5" customFormat="1" ht="16.149999999999999" customHeight="1" x14ac:dyDescent="0.2">
      <c r="A159" s="30"/>
      <c r="B159" s="98" t="s">
        <v>464</v>
      </c>
      <c r="C159" s="32"/>
      <c r="D159" s="32"/>
      <c r="E159" s="89"/>
      <c r="F159" s="89"/>
      <c r="G159" s="89"/>
      <c r="H159" s="89"/>
      <c r="I159" s="89">
        <f>SUM(H159:H159)</f>
        <v>0</v>
      </c>
      <c r="K159" s="157"/>
      <c r="L159" s="157"/>
      <c r="M159" s="158"/>
      <c r="O159" s="82">
        <f t="shared" si="13"/>
        <v>0</v>
      </c>
    </row>
    <row r="160" spans="1:15" s="5" customFormat="1" ht="16.149999999999999" customHeight="1" x14ac:dyDescent="0.2">
      <c r="A160" s="30"/>
      <c r="B160" s="105" t="s">
        <v>474</v>
      </c>
      <c r="C160" s="32"/>
      <c r="D160" s="32"/>
      <c r="E160" s="89"/>
      <c r="F160" s="89"/>
      <c r="G160" s="89"/>
      <c r="H160" s="89"/>
      <c r="I160" s="89"/>
      <c r="K160" s="157"/>
      <c r="L160" s="157"/>
      <c r="M160" s="158"/>
      <c r="O160" s="82">
        <f t="shared" si="13"/>
        <v>0</v>
      </c>
    </row>
    <row r="161" spans="1:15" ht="15.95" customHeight="1" x14ac:dyDescent="0.2">
      <c r="A161" s="30"/>
      <c r="B161" s="46" t="s">
        <v>477</v>
      </c>
      <c r="C161" s="41"/>
      <c r="D161" s="41">
        <v>2</v>
      </c>
      <c r="E161" s="90">
        <v>1.2</v>
      </c>
      <c r="F161" s="90">
        <v>0.6</v>
      </c>
      <c r="G161" s="90"/>
      <c r="H161" s="89">
        <f t="shared" ref="H161:H171" si="16">PRODUCT(D161:G161)</f>
        <v>1.44</v>
      </c>
      <c r="I161" s="90"/>
      <c r="J161" s="90"/>
      <c r="K161" s="157"/>
      <c r="L161" s="157"/>
      <c r="M161" s="158"/>
      <c r="O161" s="82">
        <f t="shared" si="13"/>
        <v>0</v>
      </c>
    </row>
    <row r="162" spans="1:15" ht="15.95" customHeight="1" x14ac:dyDescent="0.2">
      <c r="A162" s="30"/>
      <c r="B162" s="105" t="s">
        <v>475</v>
      </c>
      <c r="C162" s="41"/>
      <c r="D162" s="41"/>
      <c r="E162" s="90"/>
      <c r="F162" s="90"/>
      <c r="G162" s="90"/>
      <c r="H162" s="89">
        <f t="shared" si="16"/>
        <v>0</v>
      </c>
      <c r="I162" s="90"/>
      <c r="J162" s="90"/>
      <c r="K162" s="157"/>
      <c r="L162" s="157"/>
      <c r="M162" s="158"/>
      <c r="O162" s="82">
        <f t="shared" si="13"/>
        <v>0</v>
      </c>
    </row>
    <row r="163" spans="1:15" ht="15.95" customHeight="1" x14ac:dyDescent="0.2">
      <c r="A163" s="30"/>
      <c r="B163" s="46"/>
      <c r="C163" s="41"/>
      <c r="D163" s="41">
        <v>2</v>
      </c>
      <c r="E163" s="90">
        <v>1.2</v>
      </c>
      <c r="F163" s="90">
        <v>0.6</v>
      </c>
      <c r="G163" s="90"/>
      <c r="H163" s="89">
        <f t="shared" si="16"/>
        <v>1.44</v>
      </c>
      <c r="I163" s="90"/>
      <c r="J163" s="90"/>
      <c r="K163" s="157"/>
      <c r="L163" s="157"/>
      <c r="M163" s="158"/>
      <c r="O163" s="82">
        <f t="shared" si="13"/>
        <v>0</v>
      </c>
    </row>
    <row r="164" spans="1:15" ht="15.95" customHeight="1" x14ac:dyDescent="0.2">
      <c r="A164" s="30"/>
      <c r="B164" s="46"/>
      <c r="C164" s="41"/>
      <c r="D164" s="41"/>
      <c r="E164" s="90"/>
      <c r="F164" s="90"/>
      <c r="G164" s="90"/>
      <c r="H164" s="89">
        <f t="shared" si="16"/>
        <v>0</v>
      </c>
      <c r="I164" s="90">
        <f>SUM(H161:H163)</f>
        <v>2.88</v>
      </c>
      <c r="J164" s="90"/>
      <c r="K164" s="157"/>
      <c r="L164" s="157"/>
      <c r="M164" s="158"/>
      <c r="O164" s="82">
        <f t="shared" si="13"/>
        <v>0</v>
      </c>
    </row>
    <row r="165" spans="1:15" s="5" customFormat="1" ht="16.149999999999999" customHeight="1" x14ac:dyDescent="0.2">
      <c r="A165" s="30"/>
      <c r="B165" s="98" t="s">
        <v>465</v>
      </c>
      <c r="C165" s="32"/>
      <c r="D165" s="32"/>
      <c r="E165" s="89"/>
      <c r="F165" s="89"/>
      <c r="G165" s="89"/>
      <c r="H165" s="89">
        <f t="shared" si="16"/>
        <v>0</v>
      </c>
      <c r="I165" s="89"/>
      <c r="J165" s="89"/>
      <c r="K165" s="157"/>
      <c r="L165" s="157"/>
      <c r="M165" s="158"/>
      <c r="O165" s="82">
        <f t="shared" si="13"/>
        <v>0</v>
      </c>
    </row>
    <row r="166" spans="1:15" ht="15.95" customHeight="1" x14ac:dyDescent="0.2">
      <c r="A166" s="30"/>
      <c r="B166" s="46" t="s">
        <v>478</v>
      </c>
      <c r="C166" s="41"/>
      <c r="D166" s="41">
        <v>1</v>
      </c>
      <c r="E166" s="90">
        <v>3.1</v>
      </c>
      <c r="F166" s="90">
        <v>0.6</v>
      </c>
      <c r="G166" s="90"/>
      <c r="H166" s="89">
        <f t="shared" si="16"/>
        <v>1.8599999999999999</v>
      </c>
      <c r="I166" s="90"/>
      <c r="J166" s="90"/>
      <c r="K166" s="157"/>
      <c r="L166" s="157"/>
      <c r="M166" s="158"/>
      <c r="O166" s="82">
        <f t="shared" si="13"/>
        <v>0</v>
      </c>
    </row>
    <row r="167" spans="1:15" ht="15.95" customHeight="1" x14ac:dyDescent="0.2">
      <c r="A167" s="30"/>
      <c r="B167" s="46" t="s">
        <v>479</v>
      </c>
      <c r="C167" s="41"/>
      <c r="D167" s="41">
        <f>1</f>
        <v>1</v>
      </c>
      <c r="E167" s="90">
        <v>1.8</v>
      </c>
      <c r="F167" s="90">
        <v>0.6</v>
      </c>
      <c r="G167" s="90"/>
      <c r="H167" s="89">
        <f t="shared" si="16"/>
        <v>1.08</v>
      </c>
      <c r="I167" s="90"/>
      <c r="J167" s="90"/>
      <c r="K167" s="157"/>
      <c r="L167" s="157"/>
      <c r="M167" s="158"/>
      <c r="O167" s="82">
        <f t="shared" si="13"/>
        <v>0</v>
      </c>
    </row>
    <row r="168" spans="1:15" ht="15.95" customHeight="1" x14ac:dyDescent="0.2">
      <c r="A168" s="30"/>
      <c r="B168" s="46" t="s">
        <v>531</v>
      </c>
      <c r="C168" s="41"/>
      <c r="D168" s="32">
        <v>1</v>
      </c>
      <c r="E168" s="89">
        <v>1.3</v>
      </c>
      <c r="F168" s="89">
        <v>0.6</v>
      </c>
      <c r="G168" s="89"/>
      <c r="H168" s="89">
        <f t="shared" ref="H168" si="17">PRODUCT(D168:G168)</f>
        <v>0.78</v>
      </c>
      <c r="I168" s="90"/>
      <c r="J168" s="90"/>
      <c r="K168" s="157"/>
      <c r="L168" s="157"/>
      <c r="M168" s="158"/>
      <c r="O168" s="82">
        <f t="shared" si="13"/>
        <v>0</v>
      </c>
    </row>
    <row r="169" spans="1:15" ht="15.95" customHeight="1" x14ac:dyDescent="0.2">
      <c r="A169" s="30"/>
      <c r="B169" s="46"/>
      <c r="C169" s="41"/>
      <c r="D169" s="41"/>
      <c r="E169" s="90"/>
      <c r="F169" s="90"/>
      <c r="G169" s="90"/>
      <c r="H169" s="89">
        <f t="shared" si="16"/>
        <v>0</v>
      </c>
      <c r="I169" s="90">
        <f>SUM(H166:H168)</f>
        <v>3.7199999999999998</v>
      </c>
      <c r="J169" s="90"/>
      <c r="K169" s="157"/>
      <c r="L169" s="157"/>
      <c r="M169" s="158"/>
      <c r="O169" s="82">
        <f t="shared" si="13"/>
        <v>0</v>
      </c>
    </row>
    <row r="170" spans="1:15" s="5" customFormat="1" ht="16.149999999999999" customHeight="1" x14ac:dyDescent="0.2">
      <c r="A170" s="30"/>
      <c r="B170" s="98" t="s">
        <v>466</v>
      </c>
      <c r="C170" s="32"/>
      <c r="D170" s="32"/>
      <c r="E170" s="89"/>
      <c r="F170" s="89"/>
      <c r="G170" s="89"/>
      <c r="H170" s="89">
        <f t="shared" si="16"/>
        <v>0</v>
      </c>
      <c r="I170" s="89"/>
      <c r="J170" s="89"/>
      <c r="K170" s="157"/>
      <c r="L170" s="157"/>
      <c r="M170" s="158"/>
      <c r="O170" s="82">
        <f t="shared" si="13"/>
        <v>0</v>
      </c>
    </row>
    <row r="171" spans="1:15" ht="15.95" customHeight="1" x14ac:dyDescent="0.2">
      <c r="A171" s="30"/>
      <c r="B171" s="46"/>
      <c r="C171" s="41"/>
      <c r="D171" s="41">
        <v>12</v>
      </c>
      <c r="E171" s="90">
        <v>2</v>
      </c>
      <c r="F171" s="90">
        <v>1.5</v>
      </c>
      <c r="G171" s="90"/>
      <c r="H171" s="89">
        <f t="shared" si="16"/>
        <v>36</v>
      </c>
      <c r="I171" s="90"/>
      <c r="J171" s="90"/>
      <c r="K171" s="157"/>
      <c r="L171" s="157"/>
      <c r="M171" s="158"/>
      <c r="O171" s="82">
        <f t="shared" si="13"/>
        <v>0</v>
      </c>
    </row>
    <row r="172" spans="1:15" ht="15.95" customHeight="1" x14ac:dyDescent="0.2">
      <c r="A172" s="30"/>
      <c r="B172" s="46"/>
      <c r="C172" s="41"/>
      <c r="D172" s="41"/>
      <c r="E172" s="90"/>
      <c r="F172" s="90"/>
      <c r="G172" s="90"/>
      <c r="H172" s="89"/>
      <c r="I172" s="90">
        <f>SUM(H171)</f>
        <v>36</v>
      </c>
      <c r="J172" s="90"/>
      <c r="K172" s="157"/>
      <c r="L172" s="157"/>
      <c r="M172" s="158"/>
      <c r="O172" s="82">
        <f t="shared" si="13"/>
        <v>0</v>
      </c>
    </row>
    <row r="173" spans="1:15" s="5" customFormat="1" ht="18" customHeight="1" x14ac:dyDescent="0.2">
      <c r="A173" s="250" t="s">
        <v>98</v>
      </c>
      <c r="B173" s="251"/>
      <c r="C173" s="251"/>
      <c r="D173" s="251"/>
      <c r="E173" s="251"/>
      <c r="F173" s="251"/>
      <c r="G173" s="251"/>
      <c r="H173" s="251"/>
      <c r="I173" s="251"/>
      <c r="J173" s="251"/>
      <c r="K173" s="251"/>
      <c r="L173" s="252"/>
      <c r="M173" s="159">
        <f>SUM(M136:M158)</f>
        <v>50290</v>
      </c>
      <c r="O173" s="82">
        <f t="shared" si="13"/>
        <v>0</v>
      </c>
    </row>
    <row r="174" spans="1:15" ht="18" customHeight="1" x14ac:dyDescent="0.2">
      <c r="A174" s="24"/>
      <c r="B174" s="25" t="s">
        <v>155</v>
      </c>
      <c r="C174" s="26"/>
      <c r="D174" s="26"/>
      <c r="E174" s="88"/>
      <c r="F174" s="88"/>
      <c r="G174" s="88"/>
      <c r="H174" s="88"/>
      <c r="I174" s="88"/>
      <c r="J174" s="88"/>
      <c r="K174" s="155"/>
      <c r="L174" s="155"/>
      <c r="M174" s="158"/>
      <c r="O174" s="82">
        <f t="shared" si="13"/>
        <v>0</v>
      </c>
    </row>
    <row r="175" spans="1:15" ht="17.100000000000001" customHeight="1" x14ac:dyDescent="0.2">
      <c r="A175" s="30" t="s">
        <v>156</v>
      </c>
      <c r="B175" s="39" t="s">
        <v>256</v>
      </c>
      <c r="C175" s="32" t="s">
        <v>5</v>
      </c>
      <c r="D175" s="32"/>
      <c r="E175" s="89"/>
      <c r="F175" s="89"/>
      <c r="G175" s="89"/>
      <c r="H175" s="89"/>
      <c r="I175" s="89"/>
      <c r="J175" s="89">
        <f>SUM(I178:I210)</f>
        <v>53.578499999999984</v>
      </c>
      <c r="K175" s="157">
        <v>60</v>
      </c>
      <c r="L175" s="157">
        <v>1200</v>
      </c>
      <c r="M175" s="158">
        <f>+L175*K175</f>
        <v>72000</v>
      </c>
      <c r="O175" s="82">
        <f t="shared" si="13"/>
        <v>6.421500000000016</v>
      </c>
    </row>
    <row r="176" spans="1:15" s="5" customFormat="1" ht="16.149999999999999" customHeight="1" x14ac:dyDescent="0.2">
      <c r="A176" s="30"/>
      <c r="B176" s="98" t="s">
        <v>464</v>
      </c>
      <c r="C176" s="32"/>
      <c r="D176" s="32"/>
      <c r="E176" s="89"/>
      <c r="F176" s="89"/>
      <c r="G176" s="89"/>
      <c r="H176" s="89"/>
      <c r="I176" s="89"/>
      <c r="K176" s="157"/>
      <c r="L176" s="157"/>
      <c r="M176" s="158"/>
      <c r="O176" s="82">
        <f t="shared" si="13"/>
        <v>0</v>
      </c>
    </row>
    <row r="177" spans="1:15" s="5" customFormat="1" ht="16.149999999999999" customHeight="1" x14ac:dyDescent="0.2">
      <c r="A177" s="30"/>
      <c r="B177" s="36" t="s">
        <v>461</v>
      </c>
      <c r="C177" s="32"/>
      <c r="D177" s="32">
        <v>2</v>
      </c>
      <c r="E177" s="89">
        <v>9.8000000000000007</v>
      </c>
      <c r="F177" s="89">
        <v>0.4</v>
      </c>
      <c r="G177" s="89">
        <f>0.2+0.15</f>
        <v>0.35</v>
      </c>
      <c r="H177" s="89">
        <f t="shared" ref="H177:H184" si="18">PRODUCT(D177:G177)</f>
        <v>2.7440000000000002</v>
      </c>
      <c r="I177" s="89"/>
      <c r="J177" s="89"/>
      <c r="K177" s="157"/>
      <c r="L177" s="157"/>
      <c r="M177" s="158"/>
      <c r="O177" s="82">
        <f t="shared" si="13"/>
        <v>0</v>
      </c>
    </row>
    <row r="178" spans="1:15" s="5" customFormat="1" ht="16.149999999999999" customHeight="1" x14ac:dyDescent="0.2">
      <c r="A178" s="30"/>
      <c r="B178" s="36"/>
      <c r="C178" s="32"/>
      <c r="D178" s="32">
        <v>2</v>
      </c>
      <c r="E178" s="89">
        <f>21.4-0.5*2</f>
        <v>20.399999999999999</v>
      </c>
      <c r="F178" s="89">
        <v>0.4</v>
      </c>
      <c r="G178" s="89">
        <f>0.2+0.15</f>
        <v>0.35</v>
      </c>
      <c r="H178" s="89">
        <f t="shared" si="18"/>
        <v>5.7119999999999997</v>
      </c>
      <c r="I178" s="89"/>
      <c r="J178" s="89"/>
      <c r="K178" s="157"/>
      <c r="L178" s="157"/>
      <c r="M178" s="158"/>
      <c r="O178" s="82">
        <f t="shared" si="13"/>
        <v>0</v>
      </c>
    </row>
    <row r="179" spans="1:15" s="5" customFormat="1" ht="16.149999999999999" customHeight="1" x14ac:dyDescent="0.2">
      <c r="A179" s="30"/>
      <c r="B179" s="36" t="s">
        <v>462</v>
      </c>
      <c r="C179" s="32"/>
      <c r="D179" s="32">
        <v>2</v>
      </c>
      <c r="E179" s="89">
        <v>1.2</v>
      </c>
      <c r="F179" s="89">
        <v>2</v>
      </c>
      <c r="G179" s="89">
        <v>0.3</v>
      </c>
      <c r="H179" s="89">
        <f t="shared" si="18"/>
        <v>1.44</v>
      </c>
      <c r="I179" s="89"/>
      <c r="J179" s="89"/>
      <c r="K179" s="157"/>
      <c r="L179" s="157"/>
      <c r="M179" s="158"/>
      <c r="O179" s="82">
        <f t="shared" si="13"/>
        <v>0</v>
      </c>
    </row>
    <row r="180" spans="1:15" s="5" customFormat="1" ht="16.149999999999999" customHeight="1" x14ac:dyDescent="0.2">
      <c r="A180" s="30"/>
      <c r="B180" s="36"/>
      <c r="C180" s="32"/>
      <c r="D180" s="32">
        <v>15</v>
      </c>
      <c r="E180" s="89">
        <v>1.2</v>
      </c>
      <c r="F180" s="89">
        <v>1.2</v>
      </c>
      <c r="G180" s="89">
        <v>0.25</v>
      </c>
      <c r="H180" s="89">
        <f t="shared" si="18"/>
        <v>5.3999999999999995</v>
      </c>
      <c r="I180" s="89"/>
      <c r="J180" s="89"/>
      <c r="K180" s="157"/>
      <c r="L180" s="157"/>
      <c r="M180" s="158"/>
      <c r="O180" s="82">
        <f t="shared" si="13"/>
        <v>0</v>
      </c>
    </row>
    <row r="181" spans="1:15" s="5" customFormat="1" ht="16.149999999999999" customHeight="1" x14ac:dyDescent="0.2">
      <c r="A181" s="30"/>
      <c r="B181" s="36" t="s">
        <v>463</v>
      </c>
      <c r="C181" s="32"/>
      <c r="D181" s="32">
        <v>1</v>
      </c>
      <c r="E181" s="89">
        <f>21.4-0.25*4</f>
        <v>20.399999999999999</v>
      </c>
      <c r="F181" s="89">
        <v>0.2</v>
      </c>
      <c r="G181" s="89">
        <v>0.5</v>
      </c>
      <c r="H181" s="89">
        <f t="shared" si="18"/>
        <v>2.04</v>
      </c>
      <c r="I181" s="89"/>
      <c r="J181" s="89"/>
      <c r="K181" s="157"/>
      <c r="L181" s="157"/>
      <c r="M181" s="158"/>
      <c r="O181" s="82">
        <f t="shared" si="13"/>
        <v>0</v>
      </c>
    </row>
    <row r="182" spans="1:15" s="5" customFormat="1" ht="16.149999999999999" customHeight="1" x14ac:dyDescent="0.2">
      <c r="A182" s="30"/>
      <c r="B182" s="36"/>
      <c r="C182" s="32"/>
      <c r="D182" s="32">
        <v>1</v>
      </c>
      <c r="E182" s="89">
        <f>17.8-0.25*3</f>
        <v>17.05</v>
      </c>
      <c r="F182" s="89">
        <v>0.2</v>
      </c>
      <c r="G182" s="89">
        <v>0.5</v>
      </c>
      <c r="H182" s="89">
        <f t="shared" si="18"/>
        <v>1.7050000000000001</v>
      </c>
      <c r="I182" s="89"/>
      <c r="J182" s="89"/>
      <c r="K182" s="157"/>
      <c r="L182" s="157"/>
      <c r="M182" s="158"/>
      <c r="O182" s="82">
        <f t="shared" si="13"/>
        <v>0</v>
      </c>
    </row>
    <row r="183" spans="1:15" s="5" customFormat="1" ht="16.149999999999999" customHeight="1" x14ac:dyDescent="0.2">
      <c r="A183" s="30"/>
      <c r="B183" s="36"/>
      <c r="C183" s="32"/>
      <c r="D183" s="32">
        <v>1</v>
      </c>
      <c r="E183" s="89">
        <f>9.8-0.25*3</f>
        <v>9.0500000000000007</v>
      </c>
      <c r="F183" s="89">
        <v>0.2</v>
      </c>
      <c r="G183" s="89">
        <v>0.5</v>
      </c>
      <c r="H183" s="89">
        <f t="shared" si="18"/>
        <v>0.90500000000000014</v>
      </c>
      <c r="I183" s="89"/>
      <c r="J183" s="89"/>
      <c r="K183" s="157"/>
      <c r="L183" s="157"/>
      <c r="M183" s="158"/>
      <c r="O183" s="82">
        <f t="shared" si="13"/>
        <v>0</v>
      </c>
    </row>
    <row r="184" spans="1:15" s="5" customFormat="1" ht="16.149999999999999" customHeight="1" x14ac:dyDescent="0.2">
      <c r="A184" s="30"/>
      <c r="B184" s="36" t="s">
        <v>470</v>
      </c>
      <c r="C184" s="32"/>
      <c r="D184" s="32">
        <v>19</v>
      </c>
      <c r="E184" s="89">
        <v>0.25</v>
      </c>
      <c r="F184" s="89">
        <v>0.3</v>
      </c>
      <c r="G184" s="89">
        <v>1.3</v>
      </c>
      <c r="H184" s="89">
        <f t="shared" si="18"/>
        <v>1.8525</v>
      </c>
      <c r="I184" s="89"/>
      <c r="J184" s="89"/>
      <c r="K184" s="157"/>
      <c r="L184" s="157"/>
      <c r="M184" s="158"/>
      <c r="O184" s="82">
        <f t="shared" si="13"/>
        <v>0</v>
      </c>
    </row>
    <row r="185" spans="1:15" s="5" customFormat="1" ht="16.149999999999999" customHeight="1" x14ac:dyDescent="0.2">
      <c r="A185" s="30"/>
      <c r="B185" s="36"/>
      <c r="C185" s="32"/>
      <c r="D185" s="32"/>
      <c r="E185" s="89"/>
      <c r="F185" s="89"/>
      <c r="G185" s="89"/>
      <c r="H185" s="89"/>
      <c r="I185" s="89">
        <f>SUM(H177:H184)</f>
        <v>21.798499999999997</v>
      </c>
      <c r="J185" s="89"/>
      <c r="K185" s="157"/>
      <c r="L185" s="157"/>
      <c r="M185" s="158"/>
      <c r="O185" s="82">
        <f t="shared" si="13"/>
        <v>0</v>
      </c>
    </row>
    <row r="186" spans="1:15" s="5" customFormat="1" ht="16.149999999999999" customHeight="1" x14ac:dyDescent="0.2">
      <c r="A186" s="30"/>
      <c r="B186" s="98" t="s">
        <v>465</v>
      </c>
      <c r="C186" s="32"/>
      <c r="D186" s="32"/>
      <c r="E186" s="89"/>
      <c r="F186" s="89"/>
      <c r="G186" s="89"/>
      <c r="H186" s="89"/>
      <c r="I186" s="89"/>
      <c r="J186" s="89"/>
      <c r="K186" s="157"/>
      <c r="L186" s="157"/>
      <c r="M186" s="158"/>
      <c r="O186" s="82">
        <f t="shared" si="13"/>
        <v>0</v>
      </c>
    </row>
    <row r="187" spans="1:15" s="5" customFormat="1" ht="16.149999999999999" customHeight="1" x14ac:dyDescent="0.2">
      <c r="A187" s="30"/>
      <c r="B187" s="36" t="s">
        <v>461</v>
      </c>
      <c r="C187" s="32"/>
      <c r="D187" s="32">
        <v>2</v>
      </c>
      <c r="E187" s="89">
        <f>12.7+0.1*2</f>
        <v>12.899999999999999</v>
      </c>
      <c r="F187" s="89">
        <v>0.4</v>
      </c>
      <c r="G187" s="89">
        <f t="shared" ref="G187:G188" si="19">0.2+0.15</f>
        <v>0.35</v>
      </c>
      <c r="H187" s="89">
        <f t="shared" ref="H187:H194" si="20">PRODUCT(D187:G187)</f>
        <v>3.6119999999999997</v>
      </c>
      <c r="I187" s="89"/>
      <c r="J187" s="89"/>
      <c r="K187" s="157"/>
      <c r="L187" s="157"/>
      <c r="M187" s="158"/>
      <c r="O187" s="82">
        <f t="shared" si="13"/>
        <v>0</v>
      </c>
    </row>
    <row r="188" spans="1:15" s="5" customFormat="1" ht="16.149999999999999" customHeight="1" x14ac:dyDescent="0.2">
      <c r="A188" s="30"/>
      <c r="B188" s="36"/>
      <c r="C188" s="32"/>
      <c r="D188" s="32">
        <v>2</v>
      </c>
      <c r="E188" s="89">
        <f>10.8-0.5*2</f>
        <v>9.8000000000000007</v>
      </c>
      <c r="F188" s="89">
        <v>0.4</v>
      </c>
      <c r="G188" s="89">
        <f t="shared" si="19"/>
        <v>0.35</v>
      </c>
      <c r="H188" s="89">
        <f t="shared" si="20"/>
        <v>2.7440000000000002</v>
      </c>
      <c r="I188" s="89"/>
      <c r="J188" s="89"/>
      <c r="K188" s="157"/>
      <c r="L188" s="157"/>
      <c r="M188" s="158"/>
      <c r="O188" s="82">
        <f t="shared" si="13"/>
        <v>0</v>
      </c>
    </row>
    <row r="189" spans="1:15" s="5" customFormat="1" ht="16.149999999999999" customHeight="1" x14ac:dyDescent="0.2">
      <c r="A189" s="30"/>
      <c r="B189" s="36" t="s">
        <v>462</v>
      </c>
      <c r="C189" s="32"/>
      <c r="D189" s="32">
        <v>15</v>
      </c>
      <c r="E189" s="89">
        <v>1.2</v>
      </c>
      <c r="F189" s="89">
        <v>1.2</v>
      </c>
      <c r="G189" s="89">
        <v>0.25</v>
      </c>
      <c r="H189" s="89">
        <f t="shared" si="20"/>
        <v>5.3999999999999995</v>
      </c>
      <c r="I189" s="89"/>
      <c r="J189" s="89"/>
      <c r="K189" s="157"/>
      <c r="L189" s="157"/>
      <c r="M189" s="158"/>
      <c r="O189" s="82">
        <f t="shared" si="13"/>
        <v>0</v>
      </c>
    </row>
    <row r="190" spans="1:15" s="5" customFormat="1" ht="16.149999999999999" customHeight="1" x14ac:dyDescent="0.2">
      <c r="A190" s="30"/>
      <c r="B190" s="36" t="s">
        <v>463</v>
      </c>
      <c r="C190" s="32"/>
      <c r="D190" s="32">
        <v>1</v>
      </c>
      <c r="E190" s="89">
        <f>5.3+0.1+0.1+4.4+0.1-0.25*3</f>
        <v>9.2499999999999982</v>
      </c>
      <c r="F190" s="89">
        <v>0.2</v>
      </c>
      <c r="G190" s="89">
        <v>0.5</v>
      </c>
      <c r="H190" s="89">
        <f t="shared" si="20"/>
        <v>0.92499999999999982</v>
      </c>
      <c r="I190" s="89"/>
      <c r="J190" s="89"/>
      <c r="K190" s="157"/>
      <c r="L190" s="157"/>
      <c r="M190" s="158"/>
      <c r="O190" s="82">
        <f t="shared" si="13"/>
        <v>0</v>
      </c>
    </row>
    <row r="191" spans="1:15" s="5" customFormat="1" ht="16.149999999999999" customHeight="1" x14ac:dyDescent="0.2">
      <c r="A191" s="30"/>
      <c r="B191" s="36"/>
      <c r="C191" s="32"/>
      <c r="D191" s="32">
        <v>1</v>
      </c>
      <c r="E191" s="89">
        <f>12.3-0.25*4</f>
        <v>11.3</v>
      </c>
      <c r="F191" s="89">
        <v>0.2</v>
      </c>
      <c r="G191" s="89">
        <v>0.5</v>
      </c>
      <c r="H191" s="89">
        <f t="shared" si="20"/>
        <v>1.1300000000000001</v>
      </c>
      <c r="I191" s="89"/>
      <c r="J191" s="89"/>
      <c r="K191" s="157"/>
      <c r="L191" s="157"/>
      <c r="M191" s="158"/>
      <c r="O191" s="82">
        <f t="shared" si="13"/>
        <v>0</v>
      </c>
    </row>
    <row r="192" spans="1:15" s="5" customFormat="1" ht="16.149999999999999" customHeight="1" x14ac:dyDescent="0.2">
      <c r="A192" s="30"/>
      <c r="B192" s="36"/>
      <c r="C192" s="32"/>
      <c r="D192" s="32">
        <v>1</v>
      </c>
      <c r="E192" s="89">
        <f>9.8-0.25*3</f>
        <v>9.0500000000000007</v>
      </c>
      <c r="F192" s="89">
        <v>0.2</v>
      </c>
      <c r="G192" s="89">
        <v>0.5</v>
      </c>
      <c r="H192" s="89">
        <f t="shared" si="20"/>
        <v>0.90500000000000014</v>
      </c>
      <c r="I192" s="89"/>
      <c r="J192" s="89"/>
      <c r="K192" s="157"/>
      <c r="L192" s="157"/>
      <c r="M192" s="158"/>
      <c r="O192" s="82">
        <f t="shared" si="13"/>
        <v>0</v>
      </c>
    </row>
    <row r="193" spans="1:15" s="5" customFormat="1" ht="16.149999999999999" customHeight="1" x14ac:dyDescent="0.2">
      <c r="A193" s="30"/>
      <c r="B193" s="36"/>
      <c r="C193" s="32"/>
      <c r="D193" s="32">
        <v>1</v>
      </c>
      <c r="E193" s="89">
        <f>7.5-0.25*2</f>
        <v>7</v>
      </c>
      <c r="F193" s="89">
        <v>0.2</v>
      </c>
      <c r="G193" s="89">
        <v>0.5</v>
      </c>
      <c r="H193" s="89">
        <f t="shared" si="20"/>
        <v>0.70000000000000007</v>
      </c>
      <c r="I193" s="89"/>
      <c r="J193" s="89"/>
      <c r="K193" s="157"/>
      <c r="L193" s="157"/>
      <c r="M193" s="158"/>
      <c r="O193" s="82">
        <f t="shared" si="13"/>
        <v>0</v>
      </c>
    </row>
    <row r="194" spans="1:15" s="5" customFormat="1" ht="16.149999999999999" customHeight="1" x14ac:dyDescent="0.2">
      <c r="A194" s="30"/>
      <c r="B194" s="36"/>
      <c r="C194" s="32"/>
      <c r="D194" s="32">
        <v>1</v>
      </c>
      <c r="E194" s="89">
        <f>3.6+2.7+0.1+3+0.2-0.25*4</f>
        <v>8.6</v>
      </c>
      <c r="F194" s="89">
        <v>0.2</v>
      </c>
      <c r="G194" s="89">
        <v>0.5</v>
      </c>
      <c r="H194" s="89">
        <f t="shared" si="20"/>
        <v>0.86</v>
      </c>
      <c r="I194" s="89"/>
      <c r="J194" s="89"/>
      <c r="K194" s="157"/>
      <c r="L194" s="157"/>
      <c r="M194" s="158"/>
      <c r="O194" s="82">
        <f t="shared" si="13"/>
        <v>0</v>
      </c>
    </row>
    <row r="195" spans="1:15" s="5" customFormat="1" ht="16.149999999999999" customHeight="1" x14ac:dyDescent="0.2">
      <c r="A195" s="30"/>
      <c r="B195" s="36" t="s">
        <v>470</v>
      </c>
      <c r="C195" s="32"/>
      <c r="D195" s="32">
        <v>15</v>
      </c>
      <c r="E195" s="89">
        <v>0.25</v>
      </c>
      <c r="F195" s="89">
        <v>0.3</v>
      </c>
      <c r="G195" s="89">
        <v>1.3</v>
      </c>
      <c r="H195" s="89">
        <f t="shared" ref="H195" si="21">PRODUCT(D195:G195)</f>
        <v>1.4625000000000001</v>
      </c>
      <c r="I195" s="89"/>
      <c r="J195" s="89"/>
      <c r="K195" s="157"/>
      <c r="L195" s="157"/>
      <c r="M195" s="158"/>
      <c r="O195" s="82">
        <f t="shared" si="13"/>
        <v>0</v>
      </c>
    </row>
    <row r="196" spans="1:15" s="5" customFormat="1" ht="16.149999999999999" customHeight="1" x14ac:dyDescent="0.2">
      <c r="A196" s="30"/>
      <c r="B196" s="36"/>
      <c r="C196" s="32"/>
      <c r="D196" s="32"/>
      <c r="E196" s="89"/>
      <c r="F196" s="89"/>
      <c r="G196" s="89"/>
      <c r="H196" s="89"/>
      <c r="I196" s="89">
        <f>SUM(H187:H195)</f>
        <v>17.738499999999998</v>
      </c>
      <c r="J196" s="89"/>
      <c r="K196" s="157"/>
      <c r="L196" s="157"/>
      <c r="M196" s="158"/>
      <c r="O196" s="82">
        <f t="shared" si="13"/>
        <v>0</v>
      </c>
    </row>
    <row r="197" spans="1:15" s="5" customFormat="1" ht="16.149999999999999" customHeight="1" x14ac:dyDescent="0.2">
      <c r="A197" s="30"/>
      <c r="B197" s="98" t="s">
        <v>466</v>
      </c>
      <c r="C197" s="32"/>
      <c r="D197" s="32"/>
      <c r="E197" s="89"/>
      <c r="F197" s="89"/>
      <c r="G197" s="89"/>
      <c r="H197" s="89"/>
      <c r="I197" s="89"/>
      <c r="J197" s="89"/>
      <c r="K197" s="157"/>
      <c r="L197" s="157"/>
      <c r="M197" s="158"/>
      <c r="O197" s="82">
        <f t="shared" si="13"/>
        <v>0</v>
      </c>
    </row>
    <row r="198" spans="1:15" s="5" customFormat="1" ht="16.149999999999999" customHeight="1" x14ac:dyDescent="0.2">
      <c r="A198" s="30"/>
      <c r="B198" s="36" t="s">
        <v>461</v>
      </c>
      <c r="C198" s="32"/>
      <c r="D198" s="32">
        <v>2</v>
      </c>
      <c r="E198" s="89">
        <f>8.8+0.1*2</f>
        <v>9</v>
      </c>
      <c r="F198" s="89">
        <v>0.4</v>
      </c>
      <c r="G198" s="89">
        <f t="shared" ref="G198:G199" si="22">0.2+0.15</f>
        <v>0.35</v>
      </c>
      <c r="H198" s="89">
        <f t="shared" ref="H198:H203" si="23">PRODUCT(D198:G198)</f>
        <v>2.52</v>
      </c>
      <c r="I198" s="89"/>
      <c r="J198" s="89"/>
      <c r="K198" s="157"/>
      <c r="L198" s="157"/>
      <c r="M198" s="158"/>
      <c r="O198" s="82">
        <f t="shared" ref="O198:O261" si="24">K198-J198</f>
        <v>0</v>
      </c>
    </row>
    <row r="199" spans="1:15" s="5" customFormat="1" ht="16.149999999999999" customHeight="1" x14ac:dyDescent="0.2">
      <c r="A199" s="30"/>
      <c r="B199" s="36"/>
      <c r="C199" s="32"/>
      <c r="D199" s="32">
        <v>2</v>
      </c>
      <c r="E199" s="89">
        <f>9.8-0.5*2</f>
        <v>8.8000000000000007</v>
      </c>
      <c r="F199" s="89">
        <v>0.4</v>
      </c>
      <c r="G199" s="89">
        <f t="shared" si="22"/>
        <v>0.35</v>
      </c>
      <c r="H199" s="89">
        <f t="shared" si="23"/>
        <v>2.464</v>
      </c>
      <c r="I199" s="89"/>
      <c r="J199" s="89"/>
      <c r="K199" s="157"/>
      <c r="L199" s="157"/>
      <c r="M199" s="158"/>
      <c r="O199" s="82">
        <f t="shared" si="24"/>
        <v>0</v>
      </c>
    </row>
    <row r="200" spans="1:15" s="5" customFormat="1" ht="16.149999999999999" customHeight="1" x14ac:dyDescent="0.2">
      <c r="A200" s="30"/>
      <c r="B200" s="36" t="s">
        <v>462</v>
      </c>
      <c r="C200" s="32"/>
      <c r="D200" s="32">
        <v>9</v>
      </c>
      <c r="E200" s="89">
        <v>1.2</v>
      </c>
      <c r="F200" s="89">
        <v>1.2</v>
      </c>
      <c r="G200" s="89">
        <v>0.25</v>
      </c>
      <c r="H200" s="89">
        <f t="shared" si="23"/>
        <v>3.2399999999999998</v>
      </c>
      <c r="I200" s="89"/>
      <c r="J200" s="89"/>
      <c r="K200" s="157"/>
      <c r="L200" s="157"/>
      <c r="M200" s="158"/>
      <c r="O200" s="82">
        <f t="shared" si="24"/>
        <v>0</v>
      </c>
    </row>
    <row r="201" spans="1:15" s="5" customFormat="1" ht="16.149999999999999" customHeight="1" x14ac:dyDescent="0.2">
      <c r="A201" s="30"/>
      <c r="B201" s="36" t="s">
        <v>463</v>
      </c>
      <c r="C201" s="32"/>
      <c r="D201" s="32">
        <v>1</v>
      </c>
      <c r="E201" s="89">
        <f>8.8-0.25*3</f>
        <v>8.0500000000000007</v>
      </c>
      <c r="F201" s="89">
        <v>0.2</v>
      </c>
      <c r="G201" s="89">
        <v>0.5</v>
      </c>
      <c r="H201" s="89">
        <f t="shared" si="23"/>
        <v>0.80500000000000016</v>
      </c>
      <c r="I201" s="89"/>
      <c r="J201" s="89"/>
      <c r="K201" s="157"/>
      <c r="L201" s="157"/>
      <c r="M201" s="158"/>
      <c r="O201" s="82">
        <f t="shared" si="24"/>
        <v>0</v>
      </c>
    </row>
    <row r="202" spans="1:15" s="5" customFormat="1" ht="16.149999999999999" customHeight="1" x14ac:dyDescent="0.2">
      <c r="A202" s="30"/>
      <c r="B202" s="36"/>
      <c r="C202" s="32"/>
      <c r="D202" s="32">
        <v>1</v>
      </c>
      <c r="E202" s="89">
        <f>9.8-0.25*3</f>
        <v>9.0500000000000007</v>
      </c>
      <c r="F202" s="89">
        <v>0.2</v>
      </c>
      <c r="G202" s="89">
        <v>0.5</v>
      </c>
      <c r="H202" s="89">
        <f t="shared" si="23"/>
        <v>0.90500000000000014</v>
      </c>
      <c r="I202" s="89"/>
      <c r="J202" s="89"/>
      <c r="K202" s="157"/>
      <c r="L202" s="157"/>
      <c r="M202" s="158"/>
      <c r="O202" s="82">
        <f t="shared" si="24"/>
        <v>0</v>
      </c>
    </row>
    <row r="203" spans="1:15" s="5" customFormat="1" ht="16.149999999999999" customHeight="1" x14ac:dyDescent="0.2">
      <c r="A203" s="30"/>
      <c r="B203" s="36" t="s">
        <v>470</v>
      </c>
      <c r="C203" s="32"/>
      <c r="D203" s="32">
        <v>9</v>
      </c>
      <c r="E203" s="89">
        <v>0.25</v>
      </c>
      <c r="F203" s="89">
        <v>0.3</v>
      </c>
      <c r="G203" s="89">
        <v>1.3</v>
      </c>
      <c r="H203" s="89">
        <f t="shared" si="23"/>
        <v>0.87749999999999995</v>
      </c>
      <c r="I203" s="89"/>
      <c r="J203" s="89"/>
      <c r="K203" s="157"/>
      <c r="L203" s="157"/>
      <c r="M203" s="158"/>
      <c r="O203" s="82">
        <f t="shared" si="24"/>
        <v>0</v>
      </c>
    </row>
    <row r="204" spans="1:15" s="5" customFormat="1" ht="16.149999999999999" customHeight="1" x14ac:dyDescent="0.2">
      <c r="A204" s="30"/>
      <c r="B204" s="36"/>
      <c r="C204" s="32"/>
      <c r="D204" s="32"/>
      <c r="E204" s="89"/>
      <c r="F204" s="89"/>
      <c r="G204" s="89"/>
      <c r="H204" s="89"/>
      <c r="I204" s="89">
        <f>SUM(H198:H203)</f>
        <v>10.811499999999999</v>
      </c>
      <c r="J204" s="89"/>
      <c r="K204" s="157"/>
      <c r="L204" s="157"/>
      <c r="M204" s="158"/>
      <c r="O204" s="82">
        <f t="shared" si="24"/>
        <v>0</v>
      </c>
    </row>
    <row r="205" spans="1:15" s="5" customFormat="1" ht="16.149999999999999" customHeight="1" x14ac:dyDescent="0.2">
      <c r="A205" s="30"/>
      <c r="B205" s="98" t="s">
        <v>467</v>
      </c>
      <c r="C205" s="32"/>
      <c r="D205" s="32"/>
      <c r="E205" s="89"/>
      <c r="F205" s="89"/>
      <c r="G205" s="89"/>
      <c r="H205" s="89"/>
      <c r="I205" s="89"/>
      <c r="J205" s="89"/>
      <c r="K205" s="157"/>
      <c r="L205" s="157"/>
      <c r="M205" s="158"/>
      <c r="O205" s="82">
        <f t="shared" si="24"/>
        <v>0</v>
      </c>
    </row>
    <row r="206" spans="1:15" s="5" customFormat="1" ht="16.149999999999999" customHeight="1" x14ac:dyDescent="0.2">
      <c r="A206" s="30"/>
      <c r="B206" s="36" t="s">
        <v>461</v>
      </c>
      <c r="C206" s="32"/>
      <c r="D206" s="32">
        <v>2</v>
      </c>
      <c r="E206" s="89">
        <f>2.4+0.1*2</f>
        <v>2.6</v>
      </c>
      <c r="F206" s="89">
        <v>0.4</v>
      </c>
      <c r="G206" s="89">
        <f t="shared" ref="G206:G207" si="25">0.2+0.15</f>
        <v>0.35</v>
      </c>
      <c r="H206" s="89">
        <f t="shared" ref="H206:H210" si="26">PRODUCT(D206:G206)</f>
        <v>0.72799999999999998</v>
      </c>
      <c r="I206" s="89"/>
      <c r="J206" s="89"/>
      <c r="K206" s="157"/>
      <c r="L206" s="157"/>
      <c r="M206" s="158"/>
      <c r="O206" s="82">
        <f t="shared" si="24"/>
        <v>0</v>
      </c>
    </row>
    <row r="207" spans="1:15" s="5" customFormat="1" ht="16.149999999999999" customHeight="1" x14ac:dyDescent="0.2">
      <c r="A207" s="30"/>
      <c r="B207" s="36"/>
      <c r="C207" s="32"/>
      <c r="D207" s="32">
        <v>2</v>
      </c>
      <c r="E207" s="89">
        <f>3.4-0.5*2</f>
        <v>2.4</v>
      </c>
      <c r="F207" s="89">
        <v>0.4</v>
      </c>
      <c r="G207" s="89">
        <f t="shared" si="25"/>
        <v>0.35</v>
      </c>
      <c r="H207" s="89">
        <f t="shared" si="26"/>
        <v>0.67199999999999993</v>
      </c>
      <c r="I207" s="89"/>
      <c r="J207" s="89"/>
      <c r="K207" s="157"/>
      <c r="L207" s="157"/>
      <c r="M207" s="158"/>
      <c r="O207" s="82">
        <f t="shared" si="24"/>
        <v>0</v>
      </c>
    </row>
    <row r="208" spans="1:15" s="5" customFormat="1" ht="16.149999999999999" customHeight="1" x14ac:dyDescent="0.2">
      <c r="A208" s="30"/>
      <c r="B208" s="36" t="s">
        <v>462</v>
      </c>
      <c r="C208" s="32"/>
      <c r="D208" s="32">
        <v>4</v>
      </c>
      <c r="E208" s="89">
        <v>1.2</v>
      </c>
      <c r="F208" s="89">
        <v>1.2</v>
      </c>
      <c r="G208" s="89">
        <v>0.25</v>
      </c>
      <c r="H208" s="89">
        <f t="shared" si="26"/>
        <v>1.44</v>
      </c>
      <c r="I208" s="89"/>
      <c r="J208" s="89"/>
      <c r="K208" s="157"/>
      <c r="L208" s="157"/>
      <c r="M208" s="158"/>
      <c r="O208" s="82">
        <f t="shared" si="24"/>
        <v>0</v>
      </c>
    </row>
    <row r="209" spans="1:263" s="5" customFormat="1" ht="16.149999999999999" customHeight="1" x14ac:dyDescent="0.2">
      <c r="A209" s="30"/>
      <c r="B209" s="36" t="s">
        <v>470</v>
      </c>
      <c r="C209" s="32"/>
      <c r="D209" s="32">
        <v>4</v>
      </c>
      <c r="E209" s="89">
        <v>0.25</v>
      </c>
      <c r="F209" s="89">
        <v>0.3</v>
      </c>
      <c r="G209" s="89">
        <v>1.3</v>
      </c>
      <c r="H209" s="89">
        <f t="shared" si="26"/>
        <v>0.39</v>
      </c>
      <c r="I209" s="89"/>
      <c r="J209" s="89"/>
      <c r="K209" s="157"/>
      <c r="L209" s="157"/>
      <c r="M209" s="158"/>
      <c r="O209" s="82">
        <f t="shared" si="24"/>
        <v>0</v>
      </c>
    </row>
    <row r="210" spans="1:263" s="5" customFormat="1" ht="16.149999999999999" customHeight="1" x14ac:dyDescent="0.2">
      <c r="A210" s="30"/>
      <c r="B210" s="36"/>
      <c r="C210" s="32"/>
      <c r="D210" s="32"/>
      <c r="E210" s="89"/>
      <c r="F210" s="89"/>
      <c r="G210" s="89"/>
      <c r="H210" s="89">
        <f t="shared" si="26"/>
        <v>0</v>
      </c>
      <c r="I210" s="89">
        <f>SUM(H206:H209)</f>
        <v>3.23</v>
      </c>
      <c r="J210" s="89"/>
      <c r="K210" s="157"/>
      <c r="L210" s="157"/>
      <c r="M210" s="158"/>
      <c r="O210" s="82">
        <f t="shared" si="24"/>
        <v>0</v>
      </c>
    </row>
    <row r="211" spans="1:263" ht="17.100000000000001" customHeight="1" x14ac:dyDescent="0.2">
      <c r="A211" s="30" t="s">
        <v>157</v>
      </c>
      <c r="B211" s="39" t="s">
        <v>257</v>
      </c>
      <c r="C211" s="32" t="s">
        <v>79</v>
      </c>
      <c r="D211" s="32"/>
      <c r="E211" s="89"/>
      <c r="F211" s="89"/>
      <c r="G211" s="89"/>
      <c r="H211" s="89"/>
      <c r="I211" s="89"/>
      <c r="J211" s="89"/>
      <c r="K211" s="157">
        <v>24855</v>
      </c>
      <c r="L211" s="157">
        <v>11</v>
      </c>
      <c r="M211" s="158">
        <f>+L211*K211</f>
        <v>273405</v>
      </c>
      <c r="O211" s="82">
        <f t="shared" si="24"/>
        <v>24855</v>
      </c>
    </row>
    <row r="212" spans="1:263" ht="18" customHeight="1" x14ac:dyDescent="0.2">
      <c r="A212" s="250" t="s">
        <v>99</v>
      </c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2"/>
      <c r="M212" s="159">
        <f>SUM(M174:M211)</f>
        <v>345405</v>
      </c>
      <c r="O212" s="82">
        <f t="shared" si="24"/>
        <v>0</v>
      </c>
    </row>
    <row r="213" spans="1:263" ht="18" customHeight="1" x14ac:dyDescent="0.2">
      <c r="A213" s="24"/>
      <c r="B213" s="25" t="s">
        <v>258</v>
      </c>
      <c r="C213" s="26"/>
      <c r="D213" s="26"/>
      <c r="E213" s="88"/>
      <c r="F213" s="88"/>
      <c r="G213" s="88"/>
      <c r="H213" s="88"/>
      <c r="I213" s="88"/>
      <c r="J213" s="88"/>
      <c r="K213" s="155"/>
      <c r="L213" s="155"/>
      <c r="M213" s="158"/>
      <c r="O213" s="82">
        <f t="shared" si="24"/>
        <v>0</v>
      </c>
    </row>
    <row r="214" spans="1:263" ht="15.95" customHeight="1" x14ac:dyDescent="0.2">
      <c r="A214" s="40" t="s">
        <v>158</v>
      </c>
      <c r="B214" s="36" t="s">
        <v>324</v>
      </c>
      <c r="C214" s="41"/>
      <c r="D214" s="41"/>
      <c r="E214" s="90"/>
      <c r="F214" s="90"/>
      <c r="G214" s="90"/>
      <c r="H214" s="90"/>
      <c r="I214" s="90"/>
      <c r="J214" s="90"/>
      <c r="K214" s="163"/>
      <c r="L214" s="163"/>
      <c r="M214" s="158"/>
      <c r="O214" s="82">
        <f t="shared" si="24"/>
        <v>0</v>
      </c>
    </row>
    <row r="215" spans="1:263" ht="15.95" customHeight="1" x14ac:dyDescent="0.2">
      <c r="A215" s="40" t="s">
        <v>320</v>
      </c>
      <c r="B215" s="44" t="s">
        <v>322</v>
      </c>
      <c r="C215" s="41" t="s">
        <v>1</v>
      </c>
      <c r="D215" s="41"/>
      <c r="E215" s="90"/>
      <c r="F215" s="90"/>
      <c r="G215" s="90"/>
      <c r="H215" s="90"/>
      <c r="I215" s="90"/>
      <c r="J215" s="90">
        <f>SUM(H216:H217)</f>
        <v>17.399999999999999</v>
      </c>
      <c r="K215" s="163">
        <v>20</v>
      </c>
      <c r="L215" s="163">
        <v>100</v>
      </c>
      <c r="M215" s="158">
        <f>+L215*K215</f>
        <v>2000</v>
      </c>
      <c r="O215" s="82">
        <f t="shared" si="24"/>
        <v>2.6000000000000014</v>
      </c>
    </row>
    <row r="216" spans="1:263" s="5" customFormat="1" ht="16.149999999999999" customHeight="1" x14ac:dyDescent="0.2">
      <c r="A216" s="30"/>
      <c r="B216" s="98" t="s">
        <v>465</v>
      </c>
      <c r="C216" s="32"/>
      <c r="D216" s="32">
        <v>1</v>
      </c>
      <c r="E216" s="89">
        <f>3.4+3+2</f>
        <v>8.4</v>
      </c>
      <c r="F216" s="89"/>
      <c r="G216" s="89"/>
      <c r="H216" s="89">
        <f t="shared" ref="H216:H217" si="27">PRODUCT(D216:G216)</f>
        <v>8.4</v>
      </c>
      <c r="I216" s="89"/>
      <c r="J216" s="89"/>
      <c r="K216" s="157"/>
      <c r="L216" s="157"/>
      <c r="M216" s="158"/>
      <c r="O216" s="82">
        <f t="shared" si="24"/>
        <v>0</v>
      </c>
    </row>
    <row r="217" spans="1:263" s="5" customFormat="1" ht="15.6" customHeight="1" x14ac:dyDescent="0.2">
      <c r="A217" s="30"/>
      <c r="B217" s="98" t="s">
        <v>466</v>
      </c>
      <c r="C217" s="32"/>
      <c r="D217" s="32">
        <v>1</v>
      </c>
      <c r="E217" s="89">
        <f>1.5*6</f>
        <v>9</v>
      </c>
      <c r="F217" s="89"/>
      <c r="G217" s="89"/>
      <c r="H217" s="89">
        <f t="shared" si="27"/>
        <v>9</v>
      </c>
      <c r="I217" s="89"/>
      <c r="J217" s="89"/>
      <c r="K217" s="157"/>
      <c r="L217" s="157"/>
      <c r="M217" s="158"/>
      <c r="O217" s="82">
        <f t="shared" si="24"/>
        <v>0</v>
      </c>
    </row>
    <row r="218" spans="1:263" s="136" customFormat="1" ht="15.95" customHeight="1" x14ac:dyDescent="0.2">
      <c r="A218" s="130" t="s">
        <v>385</v>
      </c>
      <c r="B218" s="131" t="s">
        <v>323</v>
      </c>
      <c r="C218" s="132" t="s">
        <v>1</v>
      </c>
      <c r="D218" s="132"/>
      <c r="E218" s="133"/>
      <c r="F218" s="133"/>
      <c r="G218" s="133"/>
      <c r="H218" s="133"/>
      <c r="I218" s="133"/>
      <c r="J218" s="133">
        <f>SUM(H219:H220)</f>
        <v>20</v>
      </c>
      <c r="K218" s="163">
        <v>20</v>
      </c>
      <c r="L218" s="163">
        <v>170</v>
      </c>
      <c r="M218" s="158">
        <f>+L218*K218</f>
        <v>3400</v>
      </c>
      <c r="N218" s="135"/>
      <c r="O218" s="82">
        <f t="shared" si="24"/>
        <v>0</v>
      </c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5"/>
      <c r="BR218" s="135"/>
      <c r="BS218" s="135"/>
      <c r="BT218" s="135"/>
      <c r="BU218" s="135"/>
      <c r="BV218" s="135"/>
      <c r="BW218" s="135"/>
      <c r="BX218" s="135"/>
      <c r="BY218" s="135"/>
      <c r="BZ218" s="135"/>
      <c r="CA218" s="135"/>
      <c r="CB218" s="135"/>
      <c r="CC218" s="135"/>
      <c r="CD218" s="135"/>
      <c r="CE218" s="135"/>
      <c r="CF218" s="135"/>
      <c r="CG218" s="135"/>
      <c r="CH218" s="135"/>
      <c r="CI218" s="135"/>
      <c r="CJ218" s="135"/>
      <c r="CK218" s="135"/>
      <c r="CL218" s="135"/>
      <c r="CM218" s="135"/>
      <c r="CN218" s="135"/>
      <c r="CO218" s="135"/>
      <c r="CP218" s="135"/>
      <c r="CQ218" s="135"/>
      <c r="CR218" s="135"/>
      <c r="CS218" s="135"/>
      <c r="CT218" s="135"/>
      <c r="CU218" s="135"/>
      <c r="CV218" s="135"/>
      <c r="CW218" s="135"/>
      <c r="CX218" s="135"/>
      <c r="CY218" s="135"/>
      <c r="CZ218" s="135"/>
      <c r="DA218" s="135"/>
      <c r="DB218" s="135"/>
      <c r="DC218" s="135"/>
      <c r="DD218" s="135"/>
      <c r="DE218" s="135"/>
      <c r="DF218" s="135"/>
      <c r="DG218" s="135"/>
      <c r="DH218" s="135"/>
      <c r="DI218" s="135"/>
      <c r="DJ218" s="135"/>
      <c r="DK218" s="135"/>
      <c r="DL218" s="135"/>
      <c r="DM218" s="135"/>
      <c r="DN218" s="135"/>
      <c r="DO218" s="135"/>
      <c r="DP218" s="135"/>
      <c r="DQ218" s="135"/>
      <c r="DR218" s="135"/>
      <c r="DS218" s="135"/>
      <c r="DT218" s="135"/>
      <c r="DU218" s="135"/>
      <c r="DV218" s="135"/>
      <c r="DW218" s="135"/>
      <c r="DX218" s="135"/>
      <c r="DY218" s="135"/>
      <c r="DZ218" s="135"/>
      <c r="EA218" s="135"/>
      <c r="EB218" s="135"/>
      <c r="EC218" s="135"/>
      <c r="ED218" s="135"/>
      <c r="EE218" s="135"/>
      <c r="EF218" s="135"/>
      <c r="EG218" s="135"/>
      <c r="EH218" s="135"/>
      <c r="EI218" s="135"/>
      <c r="EJ218" s="135"/>
      <c r="EK218" s="135"/>
      <c r="EL218" s="135"/>
      <c r="EM218" s="135"/>
      <c r="EN218" s="135"/>
      <c r="EO218" s="135"/>
      <c r="EP218" s="135"/>
      <c r="EQ218" s="135"/>
      <c r="ER218" s="135"/>
      <c r="ES218" s="135"/>
      <c r="ET218" s="135"/>
      <c r="EU218" s="135"/>
      <c r="EV218" s="135"/>
      <c r="EW218" s="135"/>
      <c r="EX218" s="135"/>
      <c r="EY218" s="135"/>
      <c r="EZ218" s="135"/>
      <c r="FA218" s="135"/>
      <c r="FB218" s="135"/>
      <c r="FC218" s="135"/>
      <c r="FD218" s="135"/>
      <c r="FE218" s="135"/>
      <c r="FF218" s="135"/>
      <c r="FG218" s="135"/>
      <c r="FH218" s="135"/>
      <c r="FI218" s="135"/>
      <c r="FJ218" s="135"/>
      <c r="FK218" s="135"/>
      <c r="FL218" s="135"/>
      <c r="FM218" s="135"/>
      <c r="FN218" s="135"/>
      <c r="FO218" s="135"/>
      <c r="FP218" s="135"/>
      <c r="FQ218" s="135"/>
      <c r="FR218" s="135"/>
      <c r="FS218" s="135"/>
      <c r="FT218" s="135"/>
      <c r="FU218" s="135"/>
      <c r="FV218" s="135"/>
      <c r="FW218" s="135"/>
      <c r="FX218" s="135"/>
      <c r="FY218" s="135"/>
      <c r="FZ218" s="135"/>
      <c r="GA218" s="135"/>
      <c r="GB218" s="135"/>
      <c r="GC218" s="135"/>
      <c r="GD218" s="135"/>
      <c r="GE218" s="135"/>
      <c r="GF218" s="135"/>
      <c r="GG218" s="135"/>
      <c r="GH218" s="135"/>
      <c r="GI218" s="135"/>
      <c r="GJ218" s="135"/>
      <c r="GK218" s="135"/>
      <c r="GL218" s="135"/>
      <c r="GM218" s="135"/>
      <c r="GN218" s="135"/>
      <c r="GO218" s="135"/>
      <c r="GP218" s="135"/>
      <c r="GQ218" s="135"/>
      <c r="GR218" s="135"/>
      <c r="GS218" s="135"/>
      <c r="GT218" s="135"/>
      <c r="GU218" s="135"/>
      <c r="GV218" s="135"/>
      <c r="GW218" s="135"/>
      <c r="GX218" s="135"/>
      <c r="GY218" s="135"/>
      <c r="GZ218" s="135"/>
      <c r="HA218" s="135"/>
      <c r="HB218" s="135"/>
      <c r="HC218" s="135"/>
      <c r="HD218" s="135"/>
      <c r="HE218" s="135"/>
      <c r="HF218" s="135"/>
      <c r="HG218" s="135"/>
      <c r="HH218" s="135"/>
      <c r="HI218" s="135"/>
      <c r="HJ218" s="135"/>
      <c r="HK218" s="135"/>
      <c r="HL218" s="135"/>
      <c r="HM218" s="135"/>
      <c r="HN218" s="135"/>
      <c r="HO218" s="135"/>
      <c r="HP218" s="135"/>
      <c r="HQ218" s="135"/>
      <c r="HR218" s="135"/>
      <c r="HS218" s="135"/>
      <c r="HT218" s="135"/>
      <c r="HU218" s="135"/>
      <c r="HV218" s="135"/>
      <c r="HW218" s="135"/>
      <c r="HX218" s="135"/>
      <c r="HY218" s="135"/>
      <c r="HZ218" s="135"/>
      <c r="IA218" s="135"/>
      <c r="IB218" s="135"/>
      <c r="IC218" s="135"/>
      <c r="ID218" s="135"/>
      <c r="IE218" s="135"/>
      <c r="IF218" s="135"/>
      <c r="IG218" s="135"/>
      <c r="IH218" s="135"/>
      <c r="II218" s="135"/>
      <c r="IJ218" s="135"/>
      <c r="IK218" s="135"/>
      <c r="IL218" s="135"/>
      <c r="IM218" s="135"/>
      <c r="IN218" s="135"/>
      <c r="IO218" s="135"/>
      <c r="IP218" s="135"/>
      <c r="IQ218" s="135"/>
      <c r="IR218" s="135"/>
      <c r="IS218" s="135"/>
      <c r="IT218" s="135"/>
      <c r="IU218" s="135"/>
      <c r="IV218" s="135"/>
      <c r="IW218" s="135"/>
      <c r="IX218" s="135"/>
      <c r="IY218" s="135"/>
      <c r="IZ218" s="135"/>
      <c r="JA218" s="135"/>
      <c r="JB218" s="135"/>
      <c r="JC218" s="135"/>
    </row>
    <row r="219" spans="1:263" s="5" customFormat="1" ht="16.149999999999999" customHeight="1" x14ac:dyDescent="0.2">
      <c r="A219" s="30"/>
      <c r="B219" s="98" t="s">
        <v>465</v>
      </c>
      <c r="C219" s="32"/>
      <c r="D219" s="32">
        <v>1</v>
      </c>
      <c r="E219" s="89">
        <v>10</v>
      </c>
      <c r="F219" s="89"/>
      <c r="G219" s="89"/>
      <c r="H219" s="89">
        <f t="shared" ref="H219:H220" si="28">PRODUCT(D219:G219)</f>
        <v>10</v>
      </c>
      <c r="I219" s="89"/>
      <c r="J219" s="89"/>
      <c r="K219" s="157"/>
      <c r="L219" s="157"/>
      <c r="M219" s="158"/>
      <c r="O219" s="82">
        <f t="shared" si="24"/>
        <v>0</v>
      </c>
    </row>
    <row r="220" spans="1:263" s="5" customFormat="1" ht="15.6" customHeight="1" x14ac:dyDescent="0.2">
      <c r="A220" s="30"/>
      <c r="B220" s="98" t="s">
        <v>466</v>
      </c>
      <c r="C220" s="32"/>
      <c r="D220" s="32">
        <v>1</v>
      </c>
      <c r="E220" s="89">
        <v>10</v>
      </c>
      <c r="F220" s="89"/>
      <c r="G220" s="89"/>
      <c r="H220" s="89">
        <f t="shared" si="28"/>
        <v>10</v>
      </c>
      <c r="I220" s="89"/>
      <c r="J220" s="89"/>
      <c r="K220" s="157"/>
      <c r="L220" s="157"/>
      <c r="M220" s="158"/>
      <c r="O220" s="82">
        <f t="shared" si="24"/>
        <v>0</v>
      </c>
    </row>
    <row r="221" spans="1:263" ht="15.95" customHeight="1" x14ac:dyDescent="0.2">
      <c r="A221" s="40"/>
      <c r="B221" s="44"/>
      <c r="C221" s="41"/>
      <c r="D221" s="41"/>
      <c r="E221" s="90"/>
      <c r="F221" s="90"/>
      <c r="G221" s="90"/>
      <c r="H221" s="90"/>
      <c r="I221" s="90"/>
      <c r="J221" s="90"/>
      <c r="K221" s="163"/>
      <c r="L221" s="163"/>
      <c r="M221" s="158"/>
      <c r="O221" s="82">
        <f t="shared" si="24"/>
        <v>0</v>
      </c>
    </row>
    <row r="222" spans="1:263" ht="15.95" customHeight="1" x14ac:dyDescent="0.2">
      <c r="A222" s="40" t="s">
        <v>159</v>
      </c>
      <c r="B222" s="44" t="s">
        <v>259</v>
      </c>
      <c r="C222" s="41"/>
      <c r="D222" s="41"/>
      <c r="E222" s="90"/>
      <c r="F222" s="90"/>
      <c r="G222" s="90"/>
      <c r="H222" s="90"/>
      <c r="I222" s="90"/>
      <c r="J222" s="90"/>
      <c r="K222" s="163"/>
      <c r="L222" s="163"/>
      <c r="M222" s="158"/>
      <c r="O222" s="82">
        <f t="shared" si="24"/>
        <v>0</v>
      </c>
    </row>
    <row r="223" spans="1:263" ht="15.95" customHeight="1" x14ac:dyDescent="0.2">
      <c r="A223" s="40" t="s">
        <v>260</v>
      </c>
      <c r="B223" s="45" t="s">
        <v>262</v>
      </c>
      <c r="C223" s="32" t="s">
        <v>76</v>
      </c>
      <c r="D223" s="32"/>
      <c r="E223" s="89"/>
      <c r="F223" s="89"/>
      <c r="G223" s="89"/>
      <c r="H223" s="89"/>
      <c r="I223" s="89"/>
      <c r="J223" s="89">
        <f>SUM(H224:H225)</f>
        <v>7</v>
      </c>
      <c r="K223" s="157">
        <v>7</v>
      </c>
      <c r="L223" s="157">
        <v>250</v>
      </c>
      <c r="M223" s="158">
        <f>+L223*K223</f>
        <v>1750</v>
      </c>
      <c r="N223" s="34"/>
      <c r="O223" s="82">
        <f t="shared" si="24"/>
        <v>0</v>
      </c>
    </row>
    <row r="224" spans="1:263" s="5" customFormat="1" ht="16.149999999999999" customHeight="1" x14ac:dyDescent="0.2">
      <c r="A224" s="30"/>
      <c r="B224" s="98" t="s">
        <v>465</v>
      </c>
      <c r="C224" s="32"/>
      <c r="D224" s="32">
        <v>3</v>
      </c>
      <c r="E224" s="89"/>
      <c r="F224" s="89"/>
      <c r="G224" s="89"/>
      <c r="H224" s="89">
        <f t="shared" ref="H224:H225" si="29">PRODUCT(D224:G224)</f>
        <v>3</v>
      </c>
      <c r="I224" s="89"/>
      <c r="J224" s="89"/>
      <c r="K224" s="157"/>
      <c r="L224" s="157"/>
      <c r="M224" s="158"/>
      <c r="O224" s="82">
        <f t="shared" si="24"/>
        <v>0</v>
      </c>
    </row>
    <row r="225" spans="1:15" s="5" customFormat="1" ht="15.6" customHeight="1" x14ac:dyDescent="0.2">
      <c r="A225" s="30"/>
      <c r="B225" s="98" t="s">
        <v>466</v>
      </c>
      <c r="C225" s="32"/>
      <c r="D225" s="32">
        <v>4</v>
      </c>
      <c r="E225" s="89"/>
      <c r="F225" s="89"/>
      <c r="G225" s="89"/>
      <c r="H225" s="89">
        <f t="shared" si="29"/>
        <v>4</v>
      </c>
      <c r="I225" s="89"/>
      <c r="J225" s="89"/>
      <c r="K225" s="157"/>
      <c r="L225" s="157"/>
      <c r="M225" s="158"/>
      <c r="O225" s="82">
        <f t="shared" si="24"/>
        <v>0</v>
      </c>
    </row>
    <row r="226" spans="1:15" ht="15.95" customHeight="1" x14ac:dyDescent="0.2">
      <c r="A226" s="40" t="s">
        <v>261</v>
      </c>
      <c r="B226" s="46" t="s">
        <v>388</v>
      </c>
      <c r="C226" s="32" t="s">
        <v>76</v>
      </c>
      <c r="D226" s="32"/>
      <c r="E226" s="89"/>
      <c r="F226" s="89"/>
      <c r="G226" s="89"/>
      <c r="H226" s="89"/>
      <c r="I226" s="89"/>
      <c r="J226" s="89"/>
      <c r="K226" s="157">
        <v>2</v>
      </c>
      <c r="L226" s="157">
        <v>300</v>
      </c>
      <c r="M226" s="158">
        <f t="shared" ref="M226:M241" si="30">+L226*K226</f>
        <v>600</v>
      </c>
      <c r="N226" s="34"/>
      <c r="O226" s="82">
        <f t="shared" si="24"/>
        <v>2</v>
      </c>
    </row>
    <row r="227" spans="1:15" ht="15.95" customHeight="1" x14ac:dyDescent="0.2">
      <c r="A227" s="40" t="s">
        <v>387</v>
      </c>
      <c r="B227" s="46" t="s">
        <v>263</v>
      </c>
      <c r="C227" s="32" t="s">
        <v>76</v>
      </c>
      <c r="D227" s="32"/>
      <c r="E227" s="89"/>
      <c r="F227" s="89"/>
      <c r="G227" s="89"/>
      <c r="H227" s="89"/>
      <c r="I227" s="89"/>
      <c r="J227" s="89">
        <f>SUM(H228:H229)</f>
        <v>2</v>
      </c>
      <c r="K227" s="157">
        <v>2</v>
      </c>
      <c r="L227" s="157">
        <v>300</v>
      </c>
      <c r="M227" s="158">
        <f t="shared" si="30"/>
        <v>600</v>
      </c>
      <c r="N227" s="34"/>
      <c r="O227" s="82">
        <f t="shared" si="24"/>
        <v>0</v>
      </c>
    </row>
    <row r="228" spans="1:15" s="5" customFormat="1" ht="16.149999999999999" customHeight="1" x14ac:dyDescent="0.2">
      <c r="A228" s="30"/>
      <c r="B228" s="98" t="s">
        <v>465</v>
      </c>
      <c r="C228" s="32"/>
      <c r="D228" s="32">
        <v>1</v>
      </c>
      <c r="E228" s="89"/>
      <c r="F228" s="89"/>
      <c r="G228" s="89"/>
      <c r="H228" s="89">
        <f t="shared" ref="H228:H229" si="31">PRODUCT(D228:G228)</f>
        <v>1</v>
      </c>
      <c r="I228" s="89"/>
      <c r="J228" s="89"/>
      <c r="K228" s="157"/>
      <c r="L228" s="157"/>
      <c r="M228" s="158"/>
      <c r="O228" s="82">
        <f t="shared" si="24"/>
        <v>0</v>
      </c>
    </row>
    <row r="229" spans="1:15" s="5" customFormat="1" ht="15.6" customHeight="1" x14ac:dyDescent="0.2">
      <c r="A229" s="30"/>
      <c r="B229" s="98" t="s">
        <v>466</v>
      </c>
      <c r="C229" s="32"/>
      <c r="D229" s="32">
        <v>1</v>
      </c>
      <c r="E229" s="89"/>
      <c r="F229" s="89"/>
      <c r="G229" s="89"/>
      <c r="H229" s="89">
        <f t="shared" si="31"/>
        <v>1</v>
      </c>
      <c r="I229" s="89"/>
      <c r="J229" s="89"/>
      <c r="K229" s="157"/>
      <c r="L229" s="157"/>
      <c r="M229" s="158"/>
      <c r="O229" s="82">
        <f t="shared" si="24"/>
        <v>0</v>
      </c>
    </row>
    <row r="230" spans="1:15" ht="15.95" customHeight="1" x14ac:dyDescent="0.2">
      <c r="A230" s="40"/>
      <c r="B230" s="46"/>
      <c r="C230" s="41"/>
      <c r="D230" s="41"/>
      <c r="E230" s="90"/>
      <c r="F230" s="90"/>
      <c r="G230" s="90"/>
      <c r="H230" s="90"/>
      <c r="I230" s="90"/>
      <c r="J230" s="90"/>
      <c r="K230" s="163"/>
      <c r="L230" s="163"/>
      <c r="M230" s="158"/>
      <c r="N230" s="43"/>
      <c r="O230" s="82">
        <f t="shared" si="24"/>
        <v>0</v>
      </c>
    </row>
    <row r="231" spans="1:15" ht="15.95" customHeight="1" x14ac:dyDescent="0.2">
      <c r="A231" s="40" t="s">
        <v>160</v>
      </c>
      <c r="B231" s="46" t="s">
        <v>290</v>
      </c>
      <c r="C231" s="41" t="s">
        <v>1</v>
      </c>
      <c r="D231" s="41"/>
      <c r="E231" s="90"/>
      <c r="F231" s="90"/>
      <c r="G231" s="90"/>
      <c r="H231" s="90"/>
      <c r="I231" s="90"/>
      <c r="J231" s="90">
        <f>SUM(H232)</f>
        <v>14</v>
      </c>
      <c r="K231" s="163">
        <v>14</v>
      </c>
      <c r="L231" s="163">
        <v>250</v>
      </c>
      <c r="M231" s="158">
        <f t="shared" si="30"/>
        <v>3500</v>
      </c>
      <c r="N231" s="43"/>
      <c r="O231" s="82">
        <f t="shared" si="24"/>
        <v>0</v>
      </c>
    </row>
    <row r="232" spans="1:15" s="5" customFormat="1" ht="15.6" customHeight="1" x14ac:dyDescent="0.2">
      <c r="A232" s="30"/>
      <c r="B232" s="98" t="s">
        <v>466</v>
      </c>
      <c r="C232" s="32"/>
      <c r="D232" s="32">
        <v>4</v>
      </c>
      <c r="E232" s="89">
        <v>3.5</v>
      </c>
      <c r="F232" s="89"/>
      <c r="G232" s="89"/>
      <c r="H232" s="89">
        <f t="shared" ref="H232" si="32">PRODUCT(D232:G232)</f>
        <v>14</v>
      </c>
      <c r="I232" s="89"/>
      <c r="J232" s="89"/>
      <c r="K232" s="157"/>
      <c r="L232" s="157"/>
      <c r="M232" s="158"/>
      <c r="O232" s="82">
        <f t="shared" si="24"/>
        <v>0</v>
      </c>
    </row>
    <row r="233" spans="1:15" ht="15.95" customHeight="1" x14ac:dyDescent="0.2">
      <c r="A233" s="40"/>
      <c r="B233" s="46"/>
      <c r="C233" s="41"/>
      <c r="D233" s="41"/>
      <c r="E233" s="90"/>
      <c r="F233" s="90"/>
      <c r="G233" s="90"/>
      <c r="H233" s="90"/>
      <c r="I233" s="90"/>
      <c r="J233" s="90"/>
      <c r="K233" s="163"/>
      <c r="L233" s="163"/>
      <c r="M233" s="158"/>
      <c r="N233" s="43"/>
      <c r="O233" s="82">
        <f t="shared" si="24"/>
        <v>0</v>
      </c>
    </row>
    <row r="234" spans="1:15" ht="15" customHeight="1" x14ac:dyDescent="0.2">
      <c r="A234" s="40" t="s">
        <v>161</v>
      </c>
      <c r="B234" s="39" t="s">
        <v>325</v>
      </c>
      <c r="C234" s="32" t="s">
        <v>76</v>
      </c>
      <c r="D234" s="41"/>
      <c r="E234" s="90"/>
      <c r="F234" s="90"/>
      <c r="G234" s="90"/>
      <c r="H234" s="90"/>
      <c r="I234" s="90"/>
      <c r="J234" s="90">
        <f>SUM(H235:H236)</f>
        <v>1</v>
      </c>
      <c r="K234" s="163">
        <v>1</v>
      </c>
      <c r="L234" s="163">
        <v>5000</v>
      </c>
      <c r="M234" s="158">
        <f t="shared" si="30"/>
        <v>5000</v>
      </c>
      <c r="N234" s="43"/>
      <c r="O234" s="82">
        <f t="shared" si="24"/>
        <v>0</v>
      </c>
    </row>
    <row r="235" spans="1:15" s="5" customFormat="1" ht="16.149999999999999" customHeight="1" x14ac:dyDescent="0.2">
      <c r="A235" s="30"/>
      <c r="B235" s="98" t="s">
        <v>465</v>
      </c>
      <c r="C235" s="32"/>
      <c r="D235" s="32">
        <v>1</v>
      </c>
      <c r="E235" s="89"/>
      <c r="F235" s="89"/>
      <c r="G235" s="89"/>
      <c r="H235" s="89">
        <f t="shared" ref="H235:H236" si="33">PRODUCT(D235:G235)</f>
        <v>1</v>
      </c>
      <c r="I235" s="89"/>
      <c r="J235" s="89"/>
      <c r="K235" s="157"/>
      <c r="L235" s="157"/>
      <c r="M235" s="158"/>
      <c r="O235" s="82">
        <f t="shared" si="24"/>
        <v>0</v>
      </c>
    </row>
    <row r="236" spans="1:15" s="5" customFormat="1" ht="15.6" customHeight="1" x14ac:dyDescent="0.2">
      <c r="A236" s="30"/>
      <c r="B236" s="98" t="s">
        <v>466</v>
      </c>
      <c r="C236" s="32"/>
      <c r="D236" s="32"/>
      <c r="E236" s="89"/>
      <c r="F236" s="89"/>
      <c r="G236" s="89"/>
      <c r="H236" s="89">
        <f t="shared" si="33"/>
        <v>0</v>
      </c>
      <c r="I236" s="89"/>
      <c r="J236" s="89"/>
      <c r="K236" s="157"/>
      <c r="L236" s="157"/>
      <c r="M236" s="158"/>
      <c r="O236" s="82">
        <f t="shared" si="24"/>
        <v>0</v>
      </c>
    </row>
    <row r="237" spans="1:15" ht="15" customHeight="1" x14ac:dyDescent="0.2">
      <c r="A237" s="40" t="s">
        <v>162</v>
      </c>
      <c r="B237" s="46" t="s">
        <v>319</v>
      </c>
      <c r="C237" s="32" t="s">
        <v>76</v>
      </c>
      <c r="D237" s="41"/>
      <c r="E237" s="90"/>
      <c r="F237" s="90"/>
      <c r="G237" s="90"/>
      <c r="H237" s="90"/>
      <c r="I237" s="90"/>
      <c r="J237" s="90">
        <f>SUM(H238:H239)</f>
        <v>1</v>
      </c>
      <c r="K237" s="163">
        <v>1</v>
      </c>
      <c r="L237" s="163">
        <v>5000</v>
      </c>
      <c r="M237" s="158">
        <f t="shared" si="30"/>
        <v>5000</v>
      </c>
      <c r="N237" s="43"/>
      <c r="O237" s="82">
        <f t="shared" si="24"/>
        <v>0</v>
      </c>
    </row>
    <row r="238" spans="1:15" s="5" customFormat="1" ht="16.149999999999999" customHeight="1" x14ac:dyDescent="0.2">
      <c r="A238" s="30"/>
      <c r="B238" s="98" t="s">
        <v>465</v>
      </c>
      <c r="C238" s="32"/>
      <c r="D238" s="32">
        <v>1</v>
      </c>
      <c r="E238" s="89"/>
      <c r="F238" s="89"/>
      <c r="G238" s="89"/>
      <c r="H238" s="89">
        <f t="shared" ref="H238:H239" si="34">PRODUCT(D238:G238)</f>
        <v>1</v>
      </c>
      <c r="I238" s="89"/>
      <c r="J238" s="89"/>
      <c r="K238" s="157"/>
      <c r="L238" s="157"/>
      <c r="M238" s="158"/>
      <c r="O238" s="82">
        <f t="shared" si="24"/>
        <v>0</v>
      </c>
    </row>
    <row r="239" spans="1:15" s="5" customFormat="1" ht="15.6" customHeight="1" x14ac:dyDescent="0.2">
      <c r="A239" s="30"/>
      <c r="B239" s="98" t="s">
        <v>466</v>
      </c>
      <c r="C239" s="32"/>
      <c r="D239" s="32"/>
      <c r="E239" s="89"/>
      <c r="F239" s="89"/>
      <c r="G239" s="89"/>
      <c r="H239" s="89">
        <f t="shared" si="34"/>
        <v>0</v>
      </c>
      <c r="I239" s="89"/>
      <c r="J239" s="89"/>
      <c r="K239" s="157"/>
      <c r="L239" s="157"/>
      <c r="M239" s="158"/>
      <c r="O239" s="82">
        <f t="shared" si="24"/>
        <v>0</v>
      </c>
    </row>
    <row r="240" spans="1:15" s="14" customFormat="1" ht="24" x14ac:dyDescent="0.2">
      <c r="A240" s="40" t="s">
        <v>389</v>
      </c>
      <c r="B240" s="47" t="s">
        <v>436</v>
      </c>
      <c r="C240" s="32" t="s">
        <v>76</v>
      </c>
      <c r="D240" s="41"/>
      <c r="E240" s="90"/>
      <c r="F240" s="90"/>
      <c r="G240" s="90"/>
      <c r="H240" s="90"/>
      <c r="I240" s="90"/>
      <c r="J240" s="90"/>
      <c r="K240" s="163"/>
      <c r="L240" s="163">
        <v>1500</v>
      </c>
      <c r="M240" s="158">
        <f t="shared" si="30"/>
        <v>0</v>
      </c>
      <c r="N240" s="43"/>
      <c r="O240" s="82">
        <f t="shared" si="24"/>
        <v>0</v>
      </c>
    </row>
    <row r="241" spans="1:15" s="14" customFormat="1" ht="14.25" x14ac:dyDescent="0.2">
      <c r="A241" s="40" t="s">
        <v>390</v>
      </c>
      <c r="B241" s="46" t="s">
        <v>391</v>
      </c>
      <c r="C241" s="32" t="s">
        <v>76</v>
      </c>
      <c r="D241" s="41"/>
      <c r="E241" s="90"/>
      <c r="F241" s="90"/>
      <c r="G241" s="90"/>
      <c r="H241" s="90"/>
      <c r="I241" s="90"/>
      <c r="J241" s="90"/>
      <c r="K241" s="163"/>
      <c r="L241" s="163">
        <v>3500</v>
      </c>
      <c r="M241" s="158">
        <f t="shared" si="30"/>
        <v>0</v>
      </c>
      <c r="N241" s="43"/>
      <c r="O241" s="82">
        <f t="shared" si="24"/>
        <v>0</v>
      </c>
    </row>
    <row r="242" spans="1:15" ht="18" customHeight="1" x14ac:dyDescent="0.2">
      <c r="A242" s="250" t="s">
        <v>100</v>
      </c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2"/>
      <c r="M242" s="159">
        <f>SUM(M213:M241)</f>
        <v>21850</v>
      </c>
      <c r="O242" s="82">
        <f t="shared" si="24"/>
        <v>0</v>
      </c>
    </row>
    <row r="243" spans="1:15" ht="18" customHeight="1" x14ac:dyDescent="0.2">
      <c r="A243" s="24"/>
      <c r="B243" s="25" t="s">
        <v>163</v>
      </c>
      <c r="C243" s="26"/>
      <c r="D243" s="26"/>
      <c r="E243" s="88"/>
      <c r="F243" s="88"/>
      <c r="G243" s="88"/>
      <c r="H243" s="88"/>
      <c r="I243" s="88"/>
      <c r="J243" s="88"/>
      <c r="K243" s="155"/>
      <c r="L243" s="155"/>
      <c r="M243" s="158"/>
      <c r="O243" s="82">
        <f t="shared" si="24"/>
        <v>0</v>
      </c>
    </row>
    <row r="244" spans="1:15" ht="15.95" customHeight="1" x14ac:dyDescent="0.2">
      <c r="A244" s="30" t="s">
        <v>164</v>
      </c>
      <c r="B244" s="39" t="s">
        <v>289</v>
      </c>
      <c r="C244" s="32" t="s">
        <v>5</v>
      </c>
      <c r="D244" s="32"/>
      <c r="E244" s="89"/>
      <c r="F244" s="89"/>
      <c r="G244" s="89"/>
      <c r="H244" s="89"/>
      <c r="I244" s="89"/>
      <c r="J244" s="89">
        <f>SUM(I247:I298)</f>
        <v>71.8005</v>
      </c>
      <c r="K244" s="157">
        <v>80</v>
      </c>
      <c r="L244" s="157">
        <v>1000</v>
      </c>
      <c r="M244" s="158">
        <f t="shared" ref="M244:M338" si="35">+L244*K244</f>
        <v>80000</v>
      </c>
      <c r="N244" s="34"/>
      <c r="O244" s="82">
        <f t="shared" si="24"/>
        <v>8.1995000000000005</v>
      </c>
    </row>
    <row r="245" spans="1:15" s="5" customFormat="1" ht="16.149999999999999" customHeight="1" x14ac:dyDescent="0.2">
      <c r="A245" s="30"/>
      <c r="B245" s="98" t="s">
        <v>464</v>
      </c>
      <c r="C245" s="32"/>
      <c r="D245" s="32"/>
      <c r="E245" s="89"/>
      <c r="F245" s="89"/>
      <c r="G245" s="89"/>
      <c r="H245" s="89"/>
      <c r="I245" s="89"/>
      <c r="K245" s="157"/>
      <c r="L245" s="157"/>
      <c r="M245" s="158"/>
      <c r="O245" s="82">
        <f t="shared" si="24"/>
        <v>0</v>
      </c>
    </row>
    <row r="246" spans="1:15" s="5" customFormat="1" ht="16.149999999999999" customHeight="1" x14ac:dyDescent="0.2">
      <c r="A246" s="30"/>
      <c r="B246" s="105" t="s">
        <v>474</v>
      </c>
      <c r="C246" s="32"/>
      <c r="D246" s="32"/>
      <c r="E246" s="89"/>
      <c r="F246" s="89"/>
      <c r="G246" s="89"/>
      <c r="H246" s="89"/>
      <c r="I246" s="89"/>
      <c r="K246" s="157"/>
      <c r="L246" s="157"/>
      <c r="M246" s="158"/>
      <c r="O246" s="82">
        <f t="shared" si="24"/>
        <v>0</v>
      </c>
    </row>
    <row r="247" spans="1:15" s="5" customFormat="1" ht="16.149999999999999" customHeight="1" x14ac:dyDescent="0.2">
      <c r="A247" s="30"/>
      <c r="B247" s="36" t="s">
        <v>473</v>
      </c>
      <c r="C247" s="32"/>
      <c r="D247" s="32">
        <v>19</v>
      </c>
      <c r="E247" s="89">
        <v>0.25</v>
      </c>
      <c r="F247" s="89">
        <v>0.3</v>
      </c>
      <c r="G247" s="89">
        <f>3+0.1+0.25</f>
        <v>3.35</v>
      </c>
      <c r="H247" s="89">
        <f>PRODUCT(D247:G247)</f>
        <v>4.7737500000000006</v>
      </c>
      <c r="I247" s="89"/>
      <c r="J247" s="89"/>
      <c r="K247" s="157"/>
      <c r="L247" s="157"/>
      <c r="M247" s="158"/>
      <c r="O247" s="82">
        <f t="shared" si="24"/>
        <v>0</v>
      </c>
    </row>
    <row r="248" spans="1:15" s="5" customFormat="1" ht="16.149999999999999" customHeight="1" x14ac:dyDescent="0.2">
      <c r="A248" s="30"/>
      <c r="B248" s="36" t="s">
        <v>471</v>
      </c>
      <c r="C248" s="32"/>
      <c r="D248" s="32">
        <v>2</v>
      </c>
      <c r="E248" s="89">
        <v>9.8000000000000007</v>
      </c>
      <c r="F248" s="89">
        <v>0.2</v>
      </c>
      <c r="G248" s="89">
        <v>0.7</v>
      </c>
      <c r="H248" s="89">
        <f t="shared" ref="H248:H252" si="36">PRODUCT(D248:G248)</f>
        <v>2.7440000000000002</v>
      </c>
      <c r="I248" s="89"/>
      <c r="J248" s="89"/>
      <c r="K248" s="157"/>
      <c r="L248" s="157"/>
      <c r="M248" s="158"/>
      <c r="O248" s="82">
        <f t="shared" si="24"/>
        <v>0</v>
      </c>
    </row>
    <row r="249" spans="1:15" s="5" customFormat="1" ht="16.149999999999999" customHeight="1" x14ac:dyDescent="0.2">
      <c r="A249" s="30"/>
      <c r="B249" s="36"/>
      <c r="C249" s="32"/>
      <c r="D249" s="32">
        <v>2</v>
      </c>
      <c r="E249" s="89">
        <f>21.4-0.5*2</f>
        <v>20.399999999999999</v>
      </c>
      <c r="F249" s="89">
        <v>0.2</v>
      </c>
      <c r="G249" s="89">
        <v>0.7</v>
      </c>
      <c r="H249" s="89">
        <f t="shared" si="36"/>
        <v>5.7119999999999997</v>
      </c>
      <c r="I249" s="89"/>
      <c r="J249" s="89"/>
      <c r="K249" s="157"/>
      <c r="L249" s="157"/>
      <c r="M249" s="158"/>
      <c r="O249" s="82">
        <f t="shared" si="24"/>
        <v>0</v>
      </c>
    </row>
    <row r="250" spans="1:15" s="5" customFormat="1" ht="16.149999999999999" customHeight="1" x14ac:dyDescent="0.2">
      <c r="A250" s="30"/>
      <c r="B250" s="36"/>
      <c r="C250" s="32"/>
      <c r="D250" s="32">
        <v>1</v>
      </c>
      <c r="E250" s="89">
        <f>21.4-0.25*4</f>
        <v>20.399999999999999</v>
      </c>
      <c r="F250" s="89">
        <v>0.2</v>
      </c>
      <c r="G250" s="89">
        <v>0.5</v>
      </c>
      <c r="H250" s="89">
        <f t="shared" si="36"/>
        <v>2.04</v>
      </c>
      <c r="I250" s="89"/>
      <c r="J250" s="89"/>
      <c r="K250" s="157"/>
      <c r="L250" s="157"/>
      <c r="M250" s="158"/>
      <c r="O250" s="82">
        <f t="shared" si="24"/>
        <v>0</v>
      </c>
    </row>
    <row r="251" spans="1:15" s="5" customFormat="1" ht="16.149999999999999" customHeight="1" x14ac:dyDescent="0.2">
      <c r="A251" s="30"/>
      <c r="B251" s="36"/>
      <c r="C251" s="32"/>
      <c r="D251" s="32">
        <v>1</v>
      </c>
      <c r="E251" s="89">
        <f>17.8-0.25*3</f>
        <v>17.05</v>
      </c>
      <c r="F251" s="89">
        <v>0.2</v>
      </c>
      <c r="G251" s="89">
        <v>0.5</v>
      </c>
      <c r="H251" s="89">
        <f t="shared" si="36"/>
        <v>1.7050000000000001</v>
      </c>
      <c r="I251" s="89"/>
      <c r="J251" s="89"/>
      <c r="K251" s="157"/>
      <c r="L251" s="157"/>
      <c r="M251" s="158"/>
      <c r="O251" s="82">
        <f t="shared" si="24"/>
        <v>0</v>
      </c>
    </row>
    <row r="252" spans="1:15" s="5" customFormat="1" ht="16.149999999999999" customHeight="1" x14ac:dyDescent="0.2">
      <c r="A252" s="30"/>
      <c r="B252" s="36"/>
      <c r="C252" s="32"/>
      <c r="D252" s="32">
        <v>1</v>
      </c>
      <c r="E252" s="89">
        <f>9.8-0.25*3</f>
        <v>9.0500000000000007</v>
      </c>
      <c r="F252" s="89">
        <v>0.2</v>
      </c>
      <c r="G252" s="89">
        <v>0.5</v>
      </c>
      <c r="H252" s="89">
        <f t="shared" si="36"/>
        <v>0.90500000000000014</v>
      </c>
      <c r="I252" s="89"/>
      <c r="J252" s="89"/>
      <c r="K252" s="157"/>
      <c r="L252" s="157"/>
      <c r="M252" s="158"/>
      <c r="O252" s="82">
        <f t="shared" si="24"/>
        <v>0</v>
      </c>
    </row>
    <row r="253" spans="1:15" s="5" customFormat="1" ht="16.149999999999999" customHeight="1" x14ac:dyDescent="0.2">
      <c r="A253" s="30"/>
      <c r="B253" s="36"/>
      <c r="C253" s="32"/>
      <c r="D253" s="32"/>
      <c r="E253" s="89"/>
      <c r="F253" s="89"/>
      <c r="G253" s="89"/>
      <c r="H253" s="89"/>
      <c r="I253" s="89"/>
      <c r="J253" s="89"/>
      <c r="K253" s="157"/>
      <c r="L253" s="157"/>
      <c r="M253" s="158"/>
      <c r="O253" s="82">
        <f t="shared" si="24"/>
        <v>0</v>
      </c>
    </row>
    <row r="254" spans="1:15" s="5" customFormat="1" ht="16.149999999999999" customHeight="1" x14ac:dyDescent="0.2">
      <c r="A254" s="30"/>
      <c r="B254" s="105" t="s">
        <v>475</v>
      </c>
      <c r="C254" s="32"/>
      <c r="D254" s="32"/>
      <c r="E254" s="89"/>
      <c r="F254" s="89"/>
      <c r="G254" s="89"/>
      <c r="H254" s="89"/>
      <c r="I254" s="89"/>
      <c r="K254" s="157"/>
      <c r="L254" s="157"/>
      <c r="M254" s="158"/>
      <c r="O254" s="82">
        <f t="shared" si="24"/>
        <v>0</v>
      </c>
    </row>
    <row r="255" spans="1:15" s="5" customFormat="1" ht="16.149999999999999" customHeight="1" x14ac:dyDescent="0.2">
      <c r="A255" s="30"/>
      <c r="B255" s="36" t="s">
        <v>473</v>
      </c>
      <c r="C255" s="32"/>
      <c r="D255" s="32">
        <v>19</v>
      </c>
      <c r="E255" s="89">
        <v>0.25</v>
      </c>
      <c r="F255" s="89">
        <v>0.3</v>
      </c>
      <c r="G255" s="89">
        <f>3+0.1+0.25</f>
        <v>3.35</v>
      </c>
      <c r="H255" s="89">
        <f>PRODUCT(D255:G255)</f>
        <v>4.7737500000000006</v>
      </c>
      <c r="I255" s="89"/>
      <c r="J255" s="89"/>
      <c r="K255" s="157"/>
      <c r="L255" s="157"/>
      <c r="M255" s="158"/>
      <c r="O255" s="82">
        <f t="shared" si="24"/>
        <v>0</v>
      </c>
    </row>
    <row r="256" spans="1:15" s="5" customFormat="1" ht="16.149999999999999" customHeight="1" x14ac:dyDescent="0.2">
      <c r="A256" s="30"/>
      <c r="B256" s="36" t="s">
        <v>471</v>
      </c>
      <c r="C256" s="32"/>
      <c r="D256" s="32">
        <v>2</v>
      </c>
      <c r="E256" s="89">
        <v>9.8000000000000007</v>
      </c>
      <c r="F256" s="89">
        <v>0.2</v>
      </c>
      <c r="G256" s="89">
        <v>0.5</v>
      </c>
      <c r="H256" s="89">
        <f t="shared" ref="H256:H262" si="37">PRODUCT(D256:G256)</f>
        <v>1.9600000000000002</v>
      </c>
      <c r="I256" s="89"/>
      <c r="J256" s="89"/>
      <c r="K256" s="157"/>
      <c r="L256" s="157"/>
      <c r="M256" s="158"/>
      <c r="O256" s="82">
        <f t="shared" si="24"/>
        <v>0</v>
      </c>
    </row>
    <row r="257" spans="1:15" s="5" customFormat="1" ht="16.149999999999999" customHeight="1" x14ac:dyDescent="0.2">
      <c r="A257" s="30"/>
      <c r="B257" s="36"/>
      <c r="C257" s="32"/>
      <c r="D257" s="32">
        <v>2</v>
      </c>
      <c r="E257" s="89">
        <f>21.4-0.5*2</f>
        <v>20.399999999999999</v>
      </c>
      <c r="F257" s="89">
        <v>0.2</v>
      </c>
      <c r="G257" s="89">
        <v>0.5</v>
      </c>
      <c r="H257" s="89">
        <f t="shared" si="37"/>
        <v>4.08</v>
      </c>
      <c r="I257" s="89"/>
      <c r="J257" s="89"/>
      <c r="K257" s="157"/>
      <c r="L257" s="157"/>
      <c r="M257" s="158"/>
      <c r="O257" s="82">
        <f t="shared" si="24"/>
        <v>0</v>
      </c>
    </row>
    <row r="258" spans="1:15" s="5" customFormat="1" ht="16.149999999999999" customHeight="1" x14ac:dyDescent="0.2">
      <c r="A258" s="30"/>
      <c r="B258" s="36"/>
      <c r="C258" s="32"/>
      <c r="D258" s="32">
        <v>1</v>
      </c>
      <c r="E258" s="89">
        <f>21.4-0.25*4</f>
        <v>20.399999999999999</v>
      </c>
      <c r="F258" s="89">
        <v>0.2</v>
      </c>
      <c r="G258" s="89">
        <v>0.5</v>
      </c>
      <c r="H258" s="89">
        <f t="shared" si="37"/>
        <v>2.04</v>
      </c>
      <c r="I258" s="89"/>
      <c r="J258" s="89"/>
      <c r="K258" s="157"/>
      <c r="L258" s="157"/>
      <c r="M258" s="158"/>
      <c r="O258" s="82">
        <f t="shared" si="24"/>
        <v>0</v>
      </c>
    </row>
    <row r="259" spans="1:15" s="5" customFormat="1" ht="16.149999999999999" customHeight="1" x14ac:dyDescent="0.2">
      <c r="A259" s="30"/>
      <c r="B259" s="36"/>
      <c r="C259" s="32"/>
      <c r="D259" s="32">
        <v>1</v>
      </c>
      <c r="E259" s="89">
        <f>17.8-0.25*3</f>
        <v>17.05</v>
      </c>
      <c r="F259" s="89">
        <v>0.2</v>
      </c>
      <c r="G259" s="89">
        <v>0.5</v>
      </c>
      <c r="H259" s="89">
        <f t="shared" si="37"/>
        <v>1.7050000000000001</v>
      </c>
      <c r="I259" s="89"/>
      <c r="J259" s="89"/>
      <c r="K259" s="157"/>
      <c r="L259" s="157"/>
      <c r="M259" s="158"/>
      <c r="O259" s="82">
        <f t="shared" si="24"/>
        <v>0</v>
      </c>
    </row>
    <row r="260" spans="1:15" s="5" customFormat="1" ht="16.149999999999999" customHeight="1" x14ac:dyDescent="0.2">
      <c r="A260" s="30"/>
      <c r="B260" s="36"/>
      <c r="C260" s="32"/>
      <c r="D260" s="32">
        <v>1</v>
      </c>
      <c r="E260" s="89">
        <f>9.8-0.25*3</f>
        <v>9.0500000000000007</v>
      </c>
      <c r="F260" s="89">
        <v>0.2</v>
      </c>
      <c r="G260" s="89">
        <v>0.5</v>
      </c>
      <c r="H260" s="89">
        <f t="shared" si="37"/>
        <v>0.90500000000000014</v>
      </c>
      <c r="I260" s="89"/>
      <c r="J260" s="89"/>
      <c r="K260" s="157"/>
      <c r="L260" s="157"/>
      <c r="M260" s="158"/>
      <c r="O260" s="82">
        <f t="shared" si="24"/>
        <v>0</v>
      </c>
    </row>
    <row r="261" spans="1:15" s="5" customFormat="1" ht="16.149999999999999" customHeight="1" x14ac:dyDescent="0.2">
      <c r="A261" s="30"/>
      <c r="B261" s="36" t="s">
        <v>472</v>
      </c>
      <c r="C261" s="32"/>
      <c r="D261" s="32">
        <v>2</v>
      </c>
      <c r="E261" s="89">
        <v>9.8000000000000007</v>
      </c>
      <c r="F261" s="89">
        <v>0.1</v>
      </c>
      <c r="G261" s="89">
        <v>0.8</v>
      </c>
      <c r="H261" s="89">
        <f t="shared" si="37"/>
        <v>1.5680000000000003</v>
      </c>
      <c r="I261" s="89"/>
      <c r="J261" s="89"/>
      <c r="K261" s="157"/>
      <c r="L261" s="157"/>
      <c r="M261" s="158"/>
      <c r="O261" s="82">
        <f t="shared" si="24"/>
        <v>0</v>
      </c>
    </row>
    <row r="262" spans="1:15" s="5" customFormat="1" ht="16.149999999999999" customHeight="1" x14ac:dyDescent="0.2">
      <c r="A262" s="30"/>
      <c r="B262" s="36"/>
      <c r="C262" s="32"/>
      <c r="D262" s="32">
        <v>2</v>
      </c>
      <c r="E262" s="89">
        <f>21.4-0.1*2</f>
        <v>21.2</v>
      </c>
      <c r="F262" s="89">
        <v>0.1</v>
      </c>
      <c r="G262" s="89">
        <v>0.8</v>
      </c>
      <c r="H262" s="89">
        <f t="shared" si="37"/>
        <v>3.3920000000000003</v>
      </c>
      <c r="I262" s="89"/>
      <c r="J262" s="89"/>
      <c r="K262" s="157"/>
      <c r="L262" s="157"/>
      <c r="M262" s="158"/>
      <c r="O262" s="82">
        <f t="shared" ref="O262:O325" si="38">K262-J262</f>
        <v>0</v>
      </c>
    </row>
    <row r="263" spans="1:15" s="5" customFormat="1" ht="16.149999999999999" customHeight="1" x14ac:dyDescent="0.2">
      <c r="A263" s="30"/>
      <c r="B263" s="36"/>
      <c r="C263" s="32"/>
      <c r="D263" s="32"/>
      <c r="E263" s="89"/>
      <c r="F263" s="89"/>
      <c r="G263" s="89"/>
      <c r="H263" s="89"/>
      <c r="I263" s="89"/>
      <c r="J263" s="89"/>
      <c r="K263" s="157"/>
      <c r="L263" s="157"/>
      <c r="M263" s="158"/>
      <c r="O263" s="82">
        <f t="shared" si="38"/>
        <v>0</v>
      </c>
    </row>
    <row r="264" spans="1:15" s="5" customFormat="1" ht="16.149999999999999" customHeight="1" x14ac:dyDescent="0.2">
      <c r="A264" s="30"/>
      <c r="B264" s="36" t="s">
        <v>534</v>
      </c>
      <c r="C264" s="32"/>
      <c r="D264" s="32"/>
      <c r="E264" s="89"/>
      <c r="F264" s="89"/>
      <c r="G264" s="89"/>
      <c r="H264" s="89"/>
      <c r="I264" s="89"/>
      <c r="J264" s="89"/>
      <c r="K264" s="157"/>
      <c r="L264" s="157"/>
      <c r="M264" s="158"/>
      <c r="O264" s="82">
        <f t="shared" si="38"/>
        <v>0</v>
      </c>
    </row>
    <row r="265" spans="1:15" s="5" customFormat="1" ht="16.149999999999999" customHeight="1" x14ac:dyDescent="0.2">
      <c r="A265" s="30"/>
      <c r="B265" s="129" t="s">
        <v>535</v>
      </c>
      <c r="C265" s="32"/>
      <c r="D265" s="32">
        <v>1</v>
      </c>
      <c r="E265" s="89">
        <v>2</v>
      </c>
      <c r="F265" s="89">
        <v>3.4</v>
      </c>
      <c r="G265" s="89">
        <v>0.15</v>
      </c>
      <c r="H265" s="89">
        <f t="shared" ref="H265:H267" si="39">PRODUCT(D265:G265)</f>
        <v>1.02</v>
      </c>
      <c r="I265" s="89"/>
      <c r="J265" s="89"/>
      <c r="K265" s="157"/>
      <c r="L265" s="157"/>
      <c r="M265" s="158"/>
      <c r="O265" s="82">
        <f t="shared" si="38"/>
        <v>0</v>
      </c>
    </row>
    <row r="266" spans="1:15" s="5" customFormat="1" ht="16.149999999999999" customHeight="1" x14ac:dyDescent="0.2">
      <c r="A266" s="30"/>
      <c r="B266" s="129" t="s">
        <v>536</v>
      </c>
      <c r="C266" s="32"/>
      <c r="D266" s="32">
        <v>10</v>
      </c>
      <c r="E266" s="89">
        <v>0.3</v>
      </c>
      <c r="F266" s="89">
        <v>0.17</v>
      </c>
      <c r="G266" s="89">
        <v>2</v>
      </c>
      <c r="H266" s="89">
        <f t="shared" si="39"/>
        <v>1.02</v>
      </c>
      <c r="I266" s="89"/>
      <c r="J266" s="89"/>
      <c r="K266" s="157"/>
      <c r="L266" s="157"/>
      <c r="M266" s="158"/>
      <c r="O266" s="82">
        <f t="shared" si="38"/>
        <v>0</v>
      </c>
    </row>
    <row r="267" spans="1:15" s="5" customFormat="1" ht="16.149999999999999" customHeight="1" x14ac:dyDescent="0.2">
      <c r="A267" s="30"/>
      <c r="B267" s="129" t="s">
        <v>537</v>
      </c>
      <c r="C267" s="32"/>
      <c r="D267" s="32">
        <v>1</v>
      </c>
      <c r="E267" s="89">
        <v>3.4</v>
      </c>
      <c r="F267" s="89">
        <v>0.2</v>
      </c>
      <c r="G267" s="89">
        <v>1.6</v>
      </c>
      <c r="H267" s="89">
        <f t="shared" si="39"/>
        <v>1.0880000000000001</v>
      </c>
      <c r="I267" s="89"/>
      <c r="J267" s="89"/>
      <c r="K267" s="157"/>
      <c r="L267" s="157"/>
      <c r="M267" s="158"/>
      <c r="O267" s="82">
        <f t="shared" si="38"/>
        <v>0</v>
      </c>
    </row>
    <row r="268" spans="1:15" s="5" customFormat="1" ht="16.149999999999999" customHeight="1" x14ac:dyDescent="0.2">
      <c r="A268" s="30"/>
      <c r="B268" s="36"/>
      <c r="C268" s="32"/>
      <c r="D268" s="32"/>
      <c r="E268" s="89"/>
      <c r="F268" s="89"/>
      <c r="G268" s="89"/>
      <c r="H268" s="89"/>
      <c r="I268" s="89">
        <f>SUM(H247:H267)</f>
        <v>41.431500000000007</v>
      </c>
      <c r="J268" s="89"/>
      <c r="K268" s="157"/>
      <c r="L268" s="157"/>
      <c r="M268" s="158"/>
      <c r="O268" s="82">
        <f t="shared" si="38"/>
        <v>0</v>
      </c>
    </row>
    <row r="269" spans="1:15" s="5" customFormat="1" ht="16.149999999999999" customHeight="1" x14ac:dyDescent="0.2">
      <c r="A269" s="30"/>
      <c r="B269" s="98" t="s">
        <v>465</v>
      </c>
      <c r="C269" s="32"/>
      <c r="D269" s="32"/>
      <c r="E269" s="89"/>
      <c r="F269" s="89"/>
      <c r="G269" s="89"/>
      <c r="H269" s="89"/>
      <c r="I269" s="89"/>
      <c r="J269" s="89"/>
      <c r="K269" s="157"/>
      <c r="L269" s="157"/>
      <c r="M269" s="158"/>
      <c r="O269" s="82">
        <f t="shared" si="38"/>
        <v>0</v>
      </c>
    </row>
    <row r="270" spans="1:15" s="5" customFormat="1" ht="16.149999999999999" customHeight="1" x14ac:dyDescent="0.2">
      <c r="A270" s="30"/>
      <c r="B270" s="36" t="s">
        <v>473</v>
      </c>
      <c r="C270" s="32"/>
      <c r="D270" s="32">
        <v>15</v>
      </c>
      <c r="E270" s="89">
        <v>0.25</v>
      </c>
      <c r="F270" s="89">
        <v>0.3</v>
      </c>
      <c r="G270" s="89">
        <f>3+0.1+0.25</f>
        <v>3.35</v>
      </c>
      <c r="H270" s="89">
        <f>PRODUCT(D270:G270)</f>
        <v>3.7687500000000003</v>
      </c>
      <c r="I270" s="89"/>
      <c r="J270" s="89"/>
      <c r="K270" s="157"/>
      <c r="L270" s="157"/>
      <c r="M270" s="158"/>
      <c r="O270" s="82">
        <f t="shared" si="38"/>
        <v>0</v>
      </c>
    </row>
    <row r="271" spans="1:15" s="5" customFormat="1" ht="16.149999999999999" customHeight="1" x14ac:dyDescent="0.2">
      <c r="A271" s="30"/>
      <c r="B271" s="36" t="s">
        <v>471</v>
      </c>
      <c r="C271" s="32"/>
      <c r="D271" s="32">
        <v>2</v>
      </c>
      <c r="E271" s="89">
        <f>12.7+0.1*2</f>
        <v>12.899999999999999</v>
      </c>
      <c r="F271" s="89">
        <v>0.2</v>
      </c>
      <c r="G271" s="89">
        <v>0.5</v>
      </c>
      <c r="H271" s="89">
        <f t="shared" ref="H271:H279" si="40">PRODUCT(D271:G271)</f>
        <v>2.58</v>
      </c>
      <c r="I271" s="89"/>
      <c r="J271" s="89"/>
      <c r="K271" s="157"/>
      <c r="L271" s="157"/>
      <c r="M271" s="158"/>
      <c r="O271" s="82">
        <f t="shared" si="38"/>
        <v>0</v>
      </c>
    </row>
    <row r="272" spans="1:15" s="5" customFormat="1" ht="16.149999999999999" customHeight="1" x14ac:dyDescent="0.2">
      <c r="A272" s="30"/>
      <c r="B272" s="36"/>
      <c r="C272" s="32"/>
      <c r="D272" s="32">
        <v>2</v>
      </c>
      <c r="E272" s="89">
        <f>10.8-0.5*2</f>
        <v>9.8000000000000007</v>
      </c>
      <c r="F272" s="89">
        <v>0.2</v>
      </c>
      <c r="G272" s="89">
        <v>0.5</v>
      </c>
      <c r="H272" s="89">
        <f t="shared" si="40"/>
        <v>1.9600000000000002</v>
      </c>
      <c r="I272" s="89"/>
      <c r="J272" s="89"/>
      <c r="K272" s="157"/>
      <c r="L272" s="157"/>
      <c r="M272" s="158"/>
      <c r="O272" s="82">
        <f t="shared" si="38"/>
        <v>0</v>
      </c>
    </row>
    <row r="273" spans="1:15" s="5" customFormat="1" ht="16.149999999999999" customHeight="1" x14ac:dyDescent="0.2">
      <c r="A273" s="30"/>
      <c r="B273" s="36"/>
      <c r="C273" s="32"/>
      <c r="D273" s="32">
        <v>1</v>
      </c>
      <c r="E273" s="89">
        <f>5.3+0.1+0.1+4.4+0.1-0.25*3</f>
        <v>9.2499999999999982</v>
      </c>
      <c r="F273" s="89">
        <v>0.2</v>
      </c>
      <c r="G273" s="89">
        <v>0.5</v>
      </c>
      <c r="H273" s="89">
        <f t="shared" si="40"/>
        <v>0.92499999999999982</v>
      </c>
      <c r="I273" s="89"/>
      <c r="J273" s="89"/>
      <c r="K273" s="157"/>
      <c r="L273" s="157"/>
      <c r="M273" s="158"/>
      <c r="O273" s="82">
        <f t="shared" si="38"/>
        <v>0</v>
      </c>
    </row>
    <row r="274" spans="1:15" s="5" customFormat="1" ht="16.149999999999999" customHeight="1" x14ac:dyDescent="0.2">
      <c r="A274" s="30"/>
      <c r="B274" s="36"/>
      <c r="C274" s="32"/>
      <c r="D274" s="32">
        <v>1</v>
      </c>
      <c r="E274" s="89">
        <f>12.3-0.25*4</f>
        <v>11.3</v>
      </c>
      <c r="F274" s="89">
        <v>0.2</v>
      </c>
      <c r="G274" s="89">
        <v>0.5</v>
      </c>
      <c r="H274" s="89">
        <f t="shared" si="40"/>
        <v>1.1300000000000001</v>
      </c>
      <c r="I274" s="89"/>
      <c r="J274" s="89"/>
      <c r="K274" s="157"/>
      <c r="L274" s="157"/>
      <c r="M274" s="158"/>
      <c r="O274" s="82">
        <f t="shared" si="38"/>
        <v>0</v>
      </c>
    </row>
    <row r="275" spans="1:15" s="5" customFormat="1" ht="16.149999999999999" customHeight="1" x14ac:dyDescent="0.2">
      <c r="A275" s="30"/>
      <c r="B275" s="36"/>
      <c r="C275" s="32"/>
      <c r="D275" s="32">
        <v>1</v>
      </c>
      <c r="E275" s="89">
        <f>9.8-0.25*3</f>
        <v>9.0500000000000007</v>
      </c>
      <c r="F275" s="89">
        <v>0.2</v>
      </c>
      <c r="G275" s="89">
        <v>0.5</v>
      </c>
      <c r="H275" s="89">
        <f t="shared" si="40"/>
        <v>0.90500000000000014</v>
      </c>
      <c r="I275" s="89"/>
      <c r="J275" s="89"/>
      <c r="K275" s="157"/>
      <c r="L275" s="157"/>
      <c r="M275" s="158"/>
      <c r="O275" s="82">
        <f t="shared" si="38"/>
        <v>0</v>
      </c>
    </row>
    <row r="276" spans="1:15" s="5" customFormat="1" ht="16.149999999999999" customHeight="1" x14ac:dyDescent="0.2">
      <c r="A276" s="30"/>
      <c r="B276" s="36"/>
      <c r="C276" s="32"/>
      <c r="D276" s="32">
        <v>1</v>
      </c>
      <c r="E276" s="89">
        <f>7.5-0.25*2</f>
        <v>7</v>
      </c>
      <c r="F276" s="89">
        <v>0.2</v>
      </c>
      <c r="G276" s="89">
        <v>0.5</v>
      </c>
      <c r="H276" s="89">
        <f t="shared" si="40"/>
        <v>0.70000000000000007</v>
      </c>
      <c r="I276" s="89"/>
      <c r="J276" s="89"/>
      <c r="K276" s="157"/>
      <c r="L276" s="157"/>
      <c r="M276" s="158"/>
      <c r="O276" s="82">
        <f t="shared" si="38"/>
        <v>0</v>
      </c>
    </row>
    <row r="277" spans="1:15" s="5" customFormat="1" ht="16.149999999999999" customHeight="1" x14ac:dyDescent="0.2">
      <c r="A277" s="30"/>
      <c r="B277" s="36"/>
      <c r="C277" s="32"/>
      <c r="D277" s="32">
        <v>1</v>
      </c>
      <c r="E277" s="89">
        <f>3.6+2.7+0.1+3+0.2-0.25*4</f>
        <v>8.6</v>
      </c>
      <c r="F277" s="89">
        <v>0.2</v>
      </c>
      <c r="G277" s="89">
        <v>0.5</v>
      </c>
      <c r="H277" s="89">
        <f t="shared" si="40"/>
        <v>0.86</v>
      </c>
      <c r="I277" s="89"/>
      <c r="J277" s="89"/>
      <c r="K277" s="157"/>
      <c r="L277" s="157"/>
      <c r="M277" s="158"/>
      <c r="O277" s="82">
        <f t="shared" si="38"/>
        <v>0</v>
      </c>
    </row>
    <row r="278" spans="1:15" s="5" customFormat="1" ht="16.149999999999999" customHeight="1" x14ac:dyDescent="0.2">
      <c r="A278" s="30"/>
      <c r="B278" s="36" t="s">
        <v>472</v>
      </c>
      <c r="C278" s="32"/>
      <c r="D278" s="32">
        <v>2</v>
      </c>
      <c r="E278" s="89">
        <f>12.7+0.1*2</f>
        <v>12.899999999999999</v>
      </c>
      <c r="F278" s="89">
        <v>0.1</v>
      </c>
      <c r="G278" s="89">
        <v>0.8</v>
      </c>
      <c r="H278" s="89">
        <f t="shared" si="40"/>
        <v>2.0640000000000001</v>
      </c>
      <c r="I278" s="89"/>
      <c r="J278" s="89"/>
      <c r="K278" s="157"/>
      <c r="L278" s="157"/>
      <c r="M278" s="158"/>
      <c r="O278" s="82">
        <f t="shared" si="38"/>
        <v>0</v>
      </c>
    </row>
    <row r="279" spans="1:15" s="5" customFormat="1" ht="16.149999999999999" customHeight="1" x14ac:dyDescent="0.2">
      <c r="A279" s="30"/>
      <c r="B279" s="36"/>
      <c r="C279" s="32"/>
      <c r="D279" s="32">
        <v>2</v>
      </c>
      <c r="E279" s="89">
        <f>10.8-0.1*2</f>
        <v>10.600000000000001</v>
      </c>
      <c r="F279" s="89">
        <v>0.1</v>
      </c>
      <c r="G279" s="89">
        <v>0.8</v>
      </c>
      <c r="H279" s="89">
        <f t="shared" si="40"/>
        <v>1.6960000000000006</v>
      </c>
      <c r="I279" s="89"/>
      <c r="J279" s="89"/>
      <c r="K279" s="157"/>
      <c r="L279" s="157"/>
      <c r="M279" s="158"/>
      <c r="O279" s="82">
        <f t="shared" si="38"/>
        <v>0</v>
      </c>
    </row>
    <row r="280" spans="1:15" s="5" customFormat="1" ht="16.149999999999999" customHeight="1" x14ac:dyDescent="0.2">
      <c r="A280" s="30"/>
      <c r="B280" s="36"/>
      <c r="C280" s="32"/>
      <c r="D280" s="32"/>
      <c r="E280" s="89"/>
      <c r="F280" s="89"/>
      <c r="G280" s="89"/>
      <c r="H280" s="89"/>
      <c r="I280" s="89">
        <f>SUM(H270:H279)</f>
        <v>16.588750000000001</v>
      </c>
      <c r="J280" s="89"/>
      <c r="K280" s="157"/>
      <c r="L280" s="157"/>
      <c r="M280" s="158"/>
      <c r="O280" s="82">
        <f t="shared" si="38"/>
        <v>0</v>
      </c>
    </row>
    <row r="281" spans="1:15" s="5" customFormat="1" ht="16.149999999999999" customHeight="1" x14ac:dyDescent="0.2">
      <c r="A281" s="30"/>
      <c r="B281" s="98" t="s">
        <v>466</v>
      </c>
      <c r="C281" s="32"/>
      <c r="D281" s="32"/>
      <c r="E281" s="89"/>
      <c r="F281" s="89"/>
      <c r="G281" s="89"/>
      <c r="H281" s="89"/>
      <c r="I281" s="89"/>
      <c r="J281" s="89"/>
      <c r="K281" s="157"/>
      <c r="L281" s="157"/>
      <c r="M281" s="158"/>
      <c r="O281" s="82">
        <f t="shared" si="38"/>
        <v>0</v>
      </c>
    </row>
    <row r="282" spans="1:15" s="5" customFormat="1" ht="16.149999999999999" customHeight="1" x14ac:dyDescent="0.2">
      <c r="A282" s="30"/>
      <c r="B282" s="36" t="s">
        <v>473</v>
      </c>
      <c r="C282" s="32"/>
      <c r="D282" s="32">
        <v>9</v>
      </c>
      <c r="E282" s="89">
        <v>0.25</v>
      </c>
      <c r="F282" s="89">
        <v>0.3</v>
      </c>
      <c r="G282" s="89">
        <f>3+0.1+0.25</f>
        <v>3.35</v>
      </c>
      <c r="H282" s="89">
        <f>PRODUCT(D282:G282)</f>
        <v>2.26125</v>
      </c>
      <c r="I282" s="89"/>
      <c r="J282" s="89"/>
      <c r="K282" s="157"/>
      <c r="L282" s="157"/>
      <c r="M282" s="158"/>
      <c r="O282" s="82">
        <f t="shared" si="38"/>
        <v>0</v>
      </c>
    </row>
    <row r="283" spans="1:15" s="5" customFormat="1" ht="16.149999999999999" customHeight="1" x14ac:dyDescent="0.2">
      <c r="A283" s="30"/>
      <c r="B283" s="36" t="s">
        <v>471</v>
      </c>
      <c r="C283" s="32"/>
      <c r="D283" s="32">
        <v>2</v>
      </c>
      <c r="E283" s="89">
        <f>8.8+0.1*2</f>
        <v>9</v>
      </c>
      <c r="F283" s="89">
        <v>0.2</v>
      </c>
      <c r="G283" s="89">
        <v>0.5</v>
      </c>
      <c r="H283" s="89">
        <f t="shared" ref="H283:H288" si="41">PRODUCT(D283:G283)</f>
        <v>1.8</v>
      </c>
      <c r="I283" s="89"/>
      <c r="J283" s="89"/>
      <c r="K283" s="157"/>
      <c r="L283" s="157"/>
      <c r="M283" s="158"/>
      <c r="O283" s="82">
        <f t="shared" si="38"/>
        <v>0</v>
      </c>
    </row>
    <row r="284" spans="1:15" s="5" customFormat="1" ht="16.149999999999999" customHeight="1" x14ac:dyDescent="0.2">
      <c r="A284" s="30"/>
      <c r="B284" s="36"/>
      <c r="C284" s="32"/>
      <c r="D284" s="32">
        <v>2</v>
      </c>
      <c r="E284" s="89">
        <f>9.8-0.5*2</f>
        <v>8.8000000000000007</v>
      </c>
      <c r="F284" s="89">
        <v>0.2</v>
      </c>
      <c r="G284" s="89">
        <v>0.5</v>
      </c>
      <c r="H284" s="89">
        <f t="shared" si="41"/>
        <v>1.7600000000000002</v>
      </c>
      <c r="I284" s="89"/>
      <c r="J284" s="89"/>
      <c r="K284" s="157"/>
      <c r="L284" s="157"/>
      <c r="M284" s="158"/>
      <c r="O284" s="82">
        <f t="shared" si="38"/>
        <v>0</v>
      </c>
    </row>
    <row r="285" spans="1:15" s="5" customFormat="1" ht="16.149999999999999" customHeight="1" x14ac:dyDescent="0.2">
      <c r="A285" s="30"/>
      <c r="B285" s="36"/>
      <c r="C285" s="32"/>
      <c r="D285" s="32">
        <v>1</v>
      </c>
      <c r="E285" s="89">
        <f>8.8-0.25*3</f>
        <v>8.0500000000000007</v>
      </c>
      <c r="F285" s="89">
        <v>0.2</v>
      </c>
      <c r="G285" s="89">
        <v>0.5</v>
      </c>
      <c r="H285" s="89">
        <f t="shared" si="41"/>
        <v>0.80500000000000016</v>
      </c>
      <c r="I285" s="89"/>
      <c r="J285" s="89"/>
      <c r="K285" s="157"/>
      <c r="L285" s="157"/>
      <c r="M285" s="158"/>
      <c r="O285" s="82">
        <f t="shared" si="38"/>
        <v>0</v>
      </c>
    </row>
    <row r="286" spans="1:15" s="5" customFormat="1" ht="16.149999999999999" customHeight="1" x14ac:dyDescent="0.2">
      <c r="A286" s="30"/>
      <c r="B286" s="36"/>
      <c r="C286" s="32"/>
      <c r="D286" s="32">
        <v>1</v>
      </c>
      <c r="E286" s="89">
        <f>9.8-0.25*3</f>
        <v>9.0500000000000007</v>
      </c>
      <c r="F286" s="89">
        <v>0.2</v>
      </c>
      <c r="G286" s="89">
        <v>0.5</v>
      </c>
      <c r="H286" s="89">
        <f t="shared" si="41"/>
        <v>0.90500000000000014</v>
      </c>
      <c r="I286" s="89"/>
      <c r="J286" s="89"/>
      <c r="K286" s="157"/>
      <c r="L286" s="157"/>
      <c r="M286" s="158"/>
      <c r="O286" s="82">
        <f t="shared" si="38"/>
        <v>0</v>
      </c>
    </row>
    <row r="287" spans="1:15" s="5" customFormat="1" ht="16.149999999999999" customHeight="1" x14ac:dyDescent="0.2">
      <c r="A287" s="30"/>
      <c r="B287" s="36" t="s">
        <v>472</v>
      </c>
      <c r="C287" s="32"/>
      <c r="D287" s="32">
        <v>2</v>
      </c>
      <c r="E287" s="89">
        <f>8.8+0.1*2</f>
        <v>9</v>
      </c>
      <c r="F287" s="89">
        <v>0.1</v>
      </c>
      <c r="G287" s="89">
        <v>0.8</v>
      </c>
      <c r="H287" s="89">
        <f t="shared" si="41"/>
        <v>1.4400000000000002</v>
      </c>
      <c r="I287" s="89"/>
      <c r="J287" s="89"/>
      <c r="K287" s="157"/>
      <c r="L287" s="157"/>
      <c r="M287" s="158"/>
      <c r="O287" s="82">
        <f t="shared" si="38"/>
        <v>0</v>
      </c>
    </row>
    <row r="288" spans="1:15" s="5" customFormat="1" ht="16.149999999999999" customHeight="1" x14ac:dyDescent="0.2">
      <c r="A288" s="30"/>
      <c r="B288" s="36"/>
      <c r="C288" s="32"/>
      <c r="D288" s="32">
        <v>2</v>
      </c>
      <c r="E288" s="89">
        <f>9.8-0.1*2</f>
        <v>9.6000000000000014</v>
      </c>
      <c r="F288" s="89">
        <v>0.1</v>
      </c>
      <c r="G288" s="89">
        <v>0.8</v>
      </c>
      <c r="H288" s="89">
        <f t="shared" si="41"/>
        <v>1.5360000000000005</v>
      </c>
      <c r="I288" s="89"/>
      <c r="J288" s="89"/>
      <c r="K288" s="157"/>
      <c r="L288" s="157"/>
      <c r="M288" s="158"/>
      <c r="O288" s="82">
        <f t="shared" si="38"/>
        <v>0</v>
      </c>
    </row>
    <row r="289" spans="1:15" s="5" customFormat="1" ht="16.149999999999999" customHeight="1" x14ac:dyDescent="0.2">
      <c r="A289" s="30"/>
      <c r="B289" s="36"/>
      <c r="C289" s="32"/>
      <c r="D289" s="32"/>
      <c r="E289" s="89"/>
      <c r="F289" s="89"/>
      <c r="G289" s="89"/>
      <c r="H289" s="89"/>
      <c r="I289" s="89">
        <f>SUM(H282:H289)</f>
        <v>10.507250000000003</v>
      </c>
      <c r="J289" s="89"/>
      <c r="K289" s="157"/>
      <c r="L289" s="157"/>
      <c r="M289" s="158"/>
      <c r="O289" s="82">
        <f t="shared" si="38"/>
        <v>0</v>
      </c>
    </row>
    <row r="290" spans="1:15" s="5" customFormat="1" ht="16.149999999999999" customHeight="1" x14ac:dyDescent="0.2">
      <c r="A290" s="30"/>
      <c r="B290" s="36"/>
      <c r="C290" s="32"/>
      <c r="D290" s="32"/>
      <c r="E290" s="89"/>
      <c r="F290" s="89"/>
      <c r="G290" s="89"/>
      <c r="H290" s="89"/>
      <c r="I290" s="89"/>
      <c r="J290" s="89"/>
      <c r="K290" s="157"/>
      <c r="L290" s="157"/>
      <c r="M290" s="158"/>
      <c r="O290" s="82">
        <f t="shared" si="38"/>
        <v>0</v>
      </c>
    </row>
    <row r="291" spans="1:15" s="5" customFormat="1" ht="16.149999999999999" customHeight="1" x14ac:dyDescent="0.2">
      <c r="A291" s="30"/>
      <c r="B291" s="98" t="s">
        <v>467</v>
      </c>
      <c r="C291" s="32"/>
      <c r="D291" s="32"/>
      <c r="E291" s="89"/>
      <c r="F291" s="89"/>
      <c r="G291" s="89"/>
      <c r="H291" s="89"/>
      <c r="I291" s="89"/>
      <c r="J291" s="89"/>
      <c r="K291" s="157"/>
      <c r="L291" s="157"/>
      <c r="M291" s="158"/>
      <c r="O291" s="82">
        <f t="shared" si="38"/>
        <v>0</v>
      </c>
    </row>
    <row r="292" spans="1:15" s="5" customFormat="1" ht="16.149999999999999" customHeight="1" x14ac:dyDescent="0.2">
      <c r="A292" s="30"/>
      <c r="B292" s="36" t="s">
        <v>473</v>
      </c>
      <c r="C292" s="32"/>
      <c r="D292" s="32">
        <v>4</v>
      </c>
      <c r="E292" s="89">
        <v>0.25</v>
      </c>
      <c r="F292" s="89">
        <v>0.3</v>
      </c>
      <c r="G292" s="89">
        <f>2.8+0.1+0.25</f>
        <v>3.15</v>
      </c>
      <c r="H292" s="89">
        <f>PRODUCT(D292:G292)</f>
        <v>0.94499999999999995</v>
      </c>
      <c r="I292" s="89"/>
      <c r="J292" s="89"/>
      <c r="K292" s="157"/>
      <c r="L292" s="157"/>
      <c r="M292" s="158"/>
      <c r="O292" s="82">
        <f t="shared" si="38"/>
        <v>0</v>
      </c>
    </row>
    <row r="293" spans="1:15" s="5" customFormat="1" ht="16.149999999999999" customHeight="1" x14ac:dyDescent="0.2">
      <c r="A293" s="30"/>
      <c r="B293" s="36" t="s">
        <v>471</v>
      </c>
      <c r="C293" s="32"/>
      <c r="D293" s="32">
        <v>2</v>
      </c>
      <c r="E293" s="89">
        <f>2.4+0.1*2</f>
        <v>2.6</v>
      </c>
      <c r="F293" s="89">
        <v>0.4</v>
      </c>
      <c r="G293" s="89">
        <f t="shared" ref="G293:G294" si="42">0.2+0.15</f>
        <v>0.35</v>
      </c>
      <c r="H293" s="89">
        <f t="shared" ref="H293:H297" si="43">PRODUCT(D293:G293)</f>
        <v>0.72799999999999998</v>
      </c>
      <c r="I293" s="89"/>
      <c r="J293" s="89"/>
      <c r="K293" s="157"/>
      <c r="L293" s="157"/>
      <c r="M293" s="158"/>
      <c r="O293" s="82">
        <f t="shared" si="38"/>
        <v>0</v>
      </c>
    </row>
    <row r="294" spans="1:15" s="5" customFormat="1" ht="16.149999999999999" customHeight="1" x14ac:dyDescent="0.2">
      <c r="A294" s="30"/>
      <c r="B294" s="36"/>
      <c r="C294" s="32"/>
      <c r="D294" s="32">
        <v>2</v>
      </c>
      <c r="E294" s="89">
        <f>3.4-0.5*2</f>
        <v>2.4</v>
      </c>
      <c r="F294" s="89">
        <v>0.4</v>
      </c>
      <c r="G294" s="89">
        <f t="shared" si="42"/>
        <v>0.35</v>
      </c>
      <c r="H294" s="89">
        <f t="shared" si="43"/>
        <v>0.67199999999999993</v>
      </c>
      <c r="I294" s="89"/>
      <c r="J294" s="89"/>
      <c r="K294" s="157"/>
      <c r="L294" s="157"/>
      <c r="M294" s="158"/>
      <c r="O294" s="82">
        <f t="shared" si="38"/>
        <v>0</v>
      </c>
    </row>
    <row r="295" spans="1:15" s="5" customFormat="1" ht="16.149999999999999" customHeight="1" x14ac:dyDescent="0.2">
      <c r="A295" s="30"/>
      <c r="B295" s="36" t="s">
        <v>472</v>
      </c>
      <c r="C295" s="32"/>
      <c r="D295" s="32">
        <v>2</v>
      </c>
      <c r="E295" s="89">
        <f>2.4+0.1*2</f>
        <v>2.6</v>
      </c>
      <c r="F295" s="89">
        <v>0.1</v>
      </c>
      <c r="G295" s="89">
        <v>0.8</v>
      </c>
      <c r="H295" s="89">
        <f t="shared" si="43"/>
        <v>0.41600000000000004</v>
      </c>
      <c r="I295" s="89"/>
      <c r="J295" s="89"/>
      <c r="K295" s="157"/>
      <c r="L295" s="157"/>
      <c r="M295" s="158"/>
      <c r="O295" s="82">
        <f t="shared" si="38"/>
        <v>0</v>
      </c>
    </row>
    <row r="296" spans="1:15" s="5" customFormat="1" ht="16.149999999999999" customHeight="1" x14ac:dyDescent="0.2">
      <c r="A296" s="30"/>
      <c r="B296" s="36"/>
      <c r="C296" s="32"/>
      <c r="D296" s="32">
        <v>2</v>
      </c>
      <c r="E296" s="89">
        <f>3.4-0.1*2</f>
        <v>3.1999999999999997</v>
      </c>
      <c r="F296" s="89">
        <v>0.1</v>
      </c>
      <c r="G296" s="89">
        <v>0.8</v>
      </c>
      <c r="H296" s="89">
        <f t="shared" si="43"/>
        <v>0.51200000000000001</v>
      </c>
      <c r="I296" s="89"/>
      <c r="J296" s="89"/>
      <c r="K296" s="157"/>
      <c r="L296" s="157"/>
      <c r="M296" s="158"/>
      <c r="O296" s="82">
        <f t="shared" si="38"/>
        <v>0</v>
      </c>
    </row>
    <row r="297" spans="1:15" s="5" customFormat="1" ht="16.149999999999999" customHeight="1" x14ac:dyDescent="0.2">
      <c r="A297" s="30"/>
      <c r="B297" s="36"/>
      <c r="C297" s="32"/>
      <c r="D297" s="32"/>
      <c r="E297" s="89"/>
      <c r="F297" s="89"/>
      <c r="G297" s="89"/>
      <c r="H297" s="89">
        <f t="shared" si="43"/>
        <v>0</v>
      </c>
      <c r="I297" s="89">
        <f>SUM(H292:H296)</f>
        <v>3.2729999999999997</v>
      </c>
      <c r="J297" s="89"/>
      <c r="K297" s="157"/>
      <c r="L297" s="157"/>
      <c r="M297" s="158"/>
      <c r="O297" s="82">
        <f t="shared" si="38"/>
        <v>0</v>
      </c>
    </row>
    <row r="298" spans="1:15" ht="15.95" customHeight="1" x14ac:dyDescent="0.2">
      <c r="A298" s="30"/>
      <c r="B298" s="46"/>
      <c r="C298" s="41"/>
      <c r="D298" s="41"/>
      <c r="E298" s="90"/>
      <c r="F298" s="90"/>
      <c r="G298" s="90"/>
      <c r="H298" s="90"/>
      <c r="I298" s="90"/>
      <c r="J298" s="90"/>
      <c r="K298" s="157"/>
      <c r="L298" s="157"/>
      <c r="M298" s="158"/>
      <c r="O298" s="82">
        <f t="shared" si="38"/>
        <v>0</v>
      </c>
    </row>
    <row r="299" spans="1:15" ht="15.95" customHeight="1" x14ac:dyDescent="0.2">
      <c r="A299" s="30" t="s">
        <v>165</v>
      </c>
      <c r="B299" s="46" t="s">
        <v>264</v>
      </c>
      <c r="C299" s="41" t="s">
        <v>79</v>
      </c>
      <c r="D299" s="41"/>
      <c r="E299" s="90"/>
      <c r="F299" s="90"/>
      <c r="G299" s="90"/>
      <c r="H299" s="90"/>
      <c r="I299" s="90"/>
      <c r="J299" s="90">
        <f>+J244*140</f>
        <v>10052.07</v>
      </c>
      <c r="K299" s="164">
        <f>+K244*140</f>
        <v>11200</v>
      </c>
      <c r="L299" s="157">
        <v>11</v>
      </c>
      <c r="M299" s="158">
        <f t="shared" si="35"/>
        <v>123200</v>
      </c>
      <c r="O299" s="82">
        <f t="shared" si="38"/>
        <v>1147.9300000000003</v>
      </c>
    </row>
    <row r="300" spans="1:15" ht="15.95" customHeight="1" x14ac:dyDescent="0.2">
      <c r="A300" s="30" t="s">
        <v>166</v>
      </c>
      <c r="B300" s="46" t="s">
        <v>476</v>
      </c>
      <c r="C300" s="41" t="s">
        <v>4</v>
      </c>
      <c r="D300" s="41"/>
      <c r="E300" s="90"/>
      <c r="F300" s="90"/>
      <c r="G300" s="90"/>
      <c r="H300" s="90"/>
      <c r="I300" s="90"/>
      <c r="J300" s="90">
        <f>SUM(I303:I319)</f>
        <v>425.46</v>
      </c>
      <c r="K300" s="160">
        <v>430</v>
      </c>
      <c r="L300" s="157">
        <v>220</v>
      </c>
      <c r="M300" s="158">
        <f>+L300*K300</f>
        <v>94600</v>
      </c>
      <c r="O300" s="82">
        <f t="shared" si="38"/>
        <v>4.5400000000000205</v>
      </c>
    </row>
    <row r="301" spans="1:15" s="5" customFormat="1" ht="16.149999999999999" customHeight="1" x14ac:dyDescent="0.2">
      <c r="A301" s="30"/>
      <c r="B301" s="98" t="s">
        <v>464</v>
      </c>
      <c r="C301" s="32"/>
      <c r="D301" s="32"/>
      <c r="E301" s="89"/>
      <c r="F301" s="89"/>
      <c r="G301" s="89"/>
      <c r="H301" s="89"/>
      <c r="I301" s="89"/>
      <c r="K301" s="157"/>
      <c r="L301" s="157"/>
      <c r="M301" s="158"/>
      <c r="O301" s="82">
        <f t="shared" si="38"/>
        <v>0</v>
      </c>
    </row>
    <row r="302" spans="1:15" s="5" customFormat="1" ht="16.149999999999999" customHeight="1" x14ac:dyDescent="0.2">
      <c r="A302" s="30"/>
      <c r="B302" s="105" t="s">
        <v>474</v>
      </c>
      <c r="C302" s="32"/>
      <c r="D302" s="32"/>
      <c r="E302" s="89"/>
      <c r="F302" s="89"/>
      <c r="G302" s="89"/>
      <c r="H302" s="89"/>
      <c r="I302" s="89"/>
      <c r="K302" s="157"/>
      <c r="L302" s="157"/>
      <c r="M302" s="158"/>
      <c r="O302" s="82">
        <f t="shared" si="38"/>
        <v>0</v>
      </c>
    </row>
    <row r="303" spans="1:15" ht="15.95" customHeight="1" x14ac:dyDescent="0.2">
      <c r="A303" s="30"/>
      <c r="B303" s="46"/>
      <c r="C303" s="41"/>
      <c r="D303" s="41">
        <v>2</v>
      </c>
      <c r="E303" s="90">
        <f>6.6-0.2</f>
        <v>6.3999999999999995</v>
      </c>
      <c r="F303" s="90">
        <v>8.6</v>
      </c>
      <c r="G303" s="90"/>
      <c r="H303" s="89">
        <f t="shared" ref="H303:H338" si="44">PRODUCT(D303:G303)</f>
        <v>110.07999999999998</v>
      </c>
      <c r="I303" s="90"/>
      <c r="J303" s="90"/>
      <c r="K303" s="157"/>
      <c r="L303" s="157"/>
      <c r="M303" s="158"/>
      <c r="O303" s="82">
        <f t="shared" si="38"/>
        <v>0</v>
      </c>
    </row>
    <row r="304" spans="1:15" ht="15.95" customHeight="1" x14ac:dyDescent="0.2">
      <c r="A304" s="30"/>
      <c r="B304" s="105" t="s">
        <v>475</v>
      </c>
      <c r="C304" s="41"/>
      <c r="D304" s="41"/>
      <c r="E304" s="90"/>
      <c r="F304" s="90"/>
      <c r="G304" s="90"/>
      <c r="H304" s="89">
        <f t="shared" si="44"/>
        <v>0</v>
      </c>
      <c r="I304" s="90"/>
      <c r="J304" s="90"/>
      <c r="K304" s="157"/>
      <c r="L304" s="157"/>
      <c r="M304" s="158"/>
      <c r="O304" s="82">
        <f t="shared" si="38"/>
        <v>0</v>
      </c>
    </row>
    <row r="305" spans="1:15" ht="15.95" customHeight="1" x14ac:dyDescent="0.2">
      <c r="A305" s="30"/>
      <c r="B305" s="46"/>
      <c r="C305" s="41"/>
      <c r="D305" s="41">
        <v>2</v>
      </c>
      <c r="E305" s="90">
        <f>6.6-0.2</f>
        <v>6.3999999999999995</v>
      </c>
      <c r="F305" s="90">
        <v>8.6</v>
      </c>
      <c r="G305" s="90"/>
      <c r="H305" s="89">
        <f t="shared" ref="H305" si="45">PRODUCT(D305:G305)</f>
        <v>110.07999999999998</v>
      </c>
      <c r="I305" s="90"/>
      <c r="J305" s="90"/>
      <c r="K305" s="157"/>
      <c r="L305" s="157"/>
      <c r="M305" s="158"/>
      <c r="O305" s="82">
        <f t="shared" si="38"/>
        <v>0</v>
      </c>
    </row>
    <row r="306" spans="1:15" ht="15.95" customHeight="1" x14ac:dyDescent="0.2">
      <c r="A306" s="30"/>
      <c r="B306" s="46"/>
      <c r="C306" s="41"/>
      <c r="D306" s="41">
        <v>1</v>
      </c>
      <c r="E306" s="90">
        <f>4.2+2.2-0.2*2</f>
        <v>6</v>
      </c>
      <c r="F306" s="90">
        <f>3.6-0.2</f>
        <v>3.4</v>
      </c>
      <c r="G306" s="90"/>
      <c r="H306" s="89">
        <f t="shared" si="44"/>
        <v>20.399999999999999</v>
      </c>
      <c r="I306" s="90"/>
      <c r="J306" s="90"/>
      <c r="K306" s="157"/>
      <c r="L306" s="157"/>
      <c r="M306" s="158"/>
      <c r="O306" s="82">
        <f t="shared" si="38"/>
        <v>0</v>
      </c>
    </row>
    <row r="307" spans="1:15" ht="15.95" customHeight="1" x14ac:dyDescent="0.2">
      <c r="A307" s="30"/>
      <c r="B307" s="46"/>
      <c r="C307" s="41"/>
      <c r="D307" s="41"/>
      <c r="E307" s="90"/>
      <c r="F307" s="90"/>
      <c r="G307" s="90"/>
      <c r="H307" s="89">
        <f t="shared" si="44"/>
        <v>0</v>
      </c>
      <c r="I307" s="90">
        <f>SUM(H303:H306)</f>
        <v>240.55999999999997</v>
      </c>
      <c r="J307" s="90"/>
      <c r="K307" s="157"/>
      <c r="L307" s="157"/>
      <c r="M307" s="158"/>
      <c r="O307" s="82">
        <f t="shared" si="38"/>
        <v>0</v>
      </c>
    </row>
    <row r="308" spans="1:15" s="5" customFormat="1" ht="16.149999999999999" customHeight="1" x14ac:dyDescent="0.2">
      <c r="A308" s="30"/>
      <c r="B308" s="98" t="s">
        <v>465</v>
      </c>
      <c r="C308" s="32"/>
      <c r="D308" s="32"/>
      <c r="E308" s="89"/>
      <c r="F308" s="89"/>
      <c r="G308" s="89"/>
      <c r="H308" s="89">
        <f t="shared" si="44"/>
        <v>0</v>
      </c>
      <c r="I308" s="89"/>
      <c r="J308" s="89"/>
      <c r="K308" s="157"/>
      <c r="L308" s="157"/>
      <c r="M308" s="158"/>
      <c r="O308" s="82">
        <f t="shared" si="38"/>
        <v>0</v>
      </c>
    </row>
    <row r="309" spans="1:15" ht="15.95" customHeight="1" x14ac:dyDescent="0.2">
      <c r="A309" s="30"/>
      <c r="B309" s="46"/>
      <c r="C309" s="41"/>
      <c r="D309" s="41">
        <v>1</v>
      </c>
      <c r="E309" s="90">
        <f>4.4-0.2</f>
        <v>4.2</v>
      </c>
      <c r="F309" s="90">
        <f>2.7+3.6+0.1*2-0.2*3</f>
        <v>5.9</v>
      </c>
      <c r="G309" s="90"/>
      <c r="H309" s="89">
        <f t="shared" si="44"/>
        <v>24.78</v>
      </c>
      <c r="I309" s="90"/>
      <c r="J309" s="90"/>
      <c r="K309" s="157"/>
      <c r="L309" s="157"/>
      <c r="M309" s="158"/>
      <c r="O309" s="82">
        <f t="shared" si="38"/>
        <v>0</v>
      </c>
    </row>
    <row r="310" spans="1:15" ht="15.95" customHeight="1" x14ac:dyDescent="0.2">
      <c r="A310" s="30"/>
      <c r="B310" s="46"/>
      <c r="C310" s="41"/>
      <c r="D310" s="41">
        <f>1</f>
        <v>1</v>
      </c>
      <c r="E310" s="90">
        <f>4.4-0.2-0.4</f>
        <v>3.8000000000000003</v>
      </c>
      <c r="F310" s="90">
        <f>3-0.2</f>
        <v>2.8</v>
      </c>
      <c r="G310" s="90"/>
      <c r="H310" s="89">
        <f t="shared" si="44"/>
        <v>10.64</v>
      </c>
      <c r="I310" s="90"/>
      <c r="J310" s="90"/>
      <c r="K310" s="157"/>
      <c r="L310" s="157"/>
      <c r="M310" s="158"/>
      <c r="O310" s="82">
        <f t="shared" si="38"/>
        <v>0</v>
      </c>
    </row>
    <row r="311" spans="1:15" ht="15.95" customHeight="1" x14ac:dyDescent="0.2">
      <c r="A311" s="30"/>
      <c r="B311" s="46"/>
      <c r="C311" s="41"/>
      <c r="D311" s="41">
        <v>1</v>
      </c>
      <c r="E311" s="90">
        <f>5.5-0.2*2</f>
        <v>5.0999999999999996</v>
      </c>
      <c r="F311" s="90">
        <f>10.8-0.2*4</f>
        <v>10</v>
      </c>
      <c r="G311" s="90"/>
      <c r="H311" s="89">
        <f t="shared" si="44"/>
        <v>51</v>
      </c>
      <c r="I311" s="90"/>
      <c r="J311" s="90"/>
      <c r="K311" s="157"/>
      <c r="L311" s="157"/>
      <c r="M311" s="158"/>
      <c r="O311" s="82">
        <f t="shared" si="38"/>
        <v>0</v>
      </c>
    </row>
    <row r="312" spans="1:15" ht="15.95" customHeight="1" x14ac:dyDescent="0.2">
      <c r="A312" s="30"/>
      <c r="B312" s="46"/>
      <c r="C312" s="41"/>
      <c r="D312" s="41">
        <v>1</v>
      </c>
      <c r="E312" s="90">
        <f>2.6-0.2</f>
        <v>2.4</v>
      </c>
      <c r="F312" s="90">
        <f>7.5-0.2*2</f>
        <v>7.1</v>
      </c>
      <c r="G312" s="90"/>
      <c r="H312" s="89">
        <f t="shared" si="44"/>
        <v>17.04</v>
      </c>
      <c r="I312" s="90"/>
      <c r="J312" s="90"/>
      <c r="K312" s="157"/>
      <c r="L312" s="157"/>
      <c r="M312" s="158"/>
      <c r="O312" s="82">
        <f t="shared" si="38"/>
        <v>0</v>
      </c>
    </row>
    <row r="313" spans="1:15" ht="15.95" customHeight="1" x14ac:dyDescent="0.2">
      <c r="A313" s="30"/>
      <c r="B313" s="46"/>
      <c r="C313" s="41"/>
      <c r="D313" s="41"/>
      <c r="E313" s="90"/>
      <c r="F313" s="90"/>
      <c r="G313" s="90"/>
      <c r="H313" s="89">
        <f t="shared" si="44"/>
        <v>0</v>
      </c>
      <c r="I313" s="90">
        <f>SUM(H309:H312)</f>
        <v>103.46000000000001</v>
      </c>
      <c r="J313" s="90"/>
      <c r="K313" s="157"/>
      <c r="L313" s="157"/>
      <c r="M313" s="158"/>
      <c r="O313" s="82">
        <f t="shared" si="38"/>
        <v>0</v>
      </c>
    </row>
    <row r="314" spans="1:15" s="5" customFormat="1" ht="16.149999999999999" customHeight="1" x14ac:dyDescent="0.2">
      <c r="A314" s="30"/>
      <c r="B314" s="98" t="s">
        <v>466</v>
      </c>
      <c r="C314" s="32"/>
      <c r="D314" s="32"/>
      <c r="E314" s="89"/>
      <c r="F314" s="89"/>
      <c r="G314" s="89"/>
      <c r="H314" s="89">
        <f t="shared" si="44"/>
        <v>0</v>
      </c>
      <c r="I314" s="89"/>
      <c r="J314" s="89"/>
      <c r="K314" s="157"/>
      <c r="L314" s="157"/>
      <c r="M314" s="158"/>
      <c r="O314" s="82">
        <f t="shared" si="38"/>
        <v>0</v>
      </c>
    </row>
    <row r="315" spans="1:15" ht="15.95" customHeight="1" x14ac:dyDescent="0.2">
      <c r="A315" s="30"/>
      <c r="B315" s="46"/>
      <c r="C315" s="41"/>
      <c r="D315" s="41">
        <v>1</v>
      </c>
      <c r="E315" s="90">
        <f>8.8-0.2*3</f>
        <v>8.2000000000000011</v>
      </c>
      <c r="F315" s="90">
        <f>9.8-0.2*3</f>
        <v>9.2000000000000011</v>
      </c>
      <c r="G315" s="90"/>
      <c r="H315" s="89">
        <f t="shared" si="44"/>
        <v>75.440000000000012</v>
      </c>
      <c r="I315" s="90"/>
      <c r="J315" s="90"/>
      <c r="K315" s="157"/>
      <c r="L315" s="157"/>
      <c r="M315" s="158"/>
      <c r="O315" s="82">
        <f t="shared" si="38"/>
        <v>0</v>
      </c>
    </row>
    <row r="316" spans="1:15" ht="15.95" customHeight="1" x14ac:dyDescent="0.2">
      <c r="A316" s="30"/>
      <c r="B316" s="46"/>
      <c r="C316" s="41"/>
      <c r="D316" s="41"/>
      <c r="E316" s="90"/>
      <c r="F316" s="90"/>
      <c r="G316" s="90"/>
      <c r="H316" s="89">
        <f t="shared" si="44"/>
        <v>0</v>
      </c>
      <c r="I316" s="90">
        <f>SUM(H314:H315)</f>
        <v>75.440000000000012</v>
      </c>
      <c r="J316" s="90"/>
      <c r="K316" s="157"/>
      <c r="L316" s="157"/>
      <c r="M316" s="158"/>
      <c r="O316" s="82">
        <f t="shared" si="38"/>
        <v>0</v>
      </c>
    </row>
    <row r="317" spans="1:15" s="5" customFormat="1" ht="16.149999999999999" customHeight="1" x14ac:dyDescent="0.2">
      <c r="A317" s="30"/>
      <c r="B317" s="98" t="s">
        <v>467</v>
      </c>
      <c r="C317" s="32"/>
      <c r="D317" s="32"/>
      <c r="E317" s="89"/>
      <c r="F317" s="89"/>
      <c r="G317" s="89"/>
      <c r="H317" s="89">
        <f t="shared" si="44"/>
        <v>0</v>
      </c>
      <c r="I317" s="89"/>
      <c r="J317" s="89"/>
      <c r="K317" s="157"/>
      <c r="L317" s="157"/>
      <c r="M317" s="158"/>
      <c r="O317" s="82">
        <f t="shared" si="38"/>
        <v>0</v>
      </c>
    </row>
    <row r="318" spans="1:15" ht="15.95" customHeight="1" x14ac:dyDescent="0.2">
      <c r="A318" s="30"/>
      <c r="B318" s="46"/>
      <c r="C318" s="41"/>
      <c r="D318" s="41">
        <v>1</v>
      </c>
      <c r="E318" s="90">
        <f>2.4-0.2*2</f>
        <v>2</v>
      </c>
      <c r="F318" s="90">
        <f>3.4-0.2*2</f>
        <v>3</v>
      </c>
      <c r="G318" s="90"/>
      <c r="H318" s="89">
        <f t="shared" si="44"/>
        <v>6</v>
      </c>
      <c r="I318" s="90"/>
      <c r="J318" s="90"/>
      <c r="K318" s="157"/>
      <c r="L318" s="157"/>
      <c r="M318" s="158"/>
      <c r="O318" s="82">
        <f t="shared" si="38"/>
        <v>0</v>
      </c>
    </row>
    <row r="319" spans="1:15" ht="15.95" customHeight="1" x14ac:dyDescent="0.2">
      <c r="A319" s="30"/>
      <c r="B319" s="46"/>
      <c r="C319" s="41"/>
      <c r="D319" s="41"/>
      <c r="E319" s="90"/>
      <c r="F319" s="90"/>
      <c r="G319" s="90"/>
      <c r="H319" s="89">
        <f t="shared" si="44"/>
        <v>0</v>
      </c>
      <c r="I319" s="90">
        <f>SUM(H318)</f>
        <v>6</v>
      </c>
      <c r="J319" s="90"/>
      <c r="K319" s="157"/>
      <c r="L319" s="157"/>
      <c r="M319" s="158"/>
      <c r="O319" s="82">
        <f t="shared" si="38"/>
        <v>0</v>
      </c>
    </row>
    <row r="320" spans="1:15" ht="15.95" customHeight="1" x14ac:dyDescent="0.2">
      <c r="A320" s="30"/>
      <c r="B320" s="46"/>
      <c r="C320" s="41"/>
      <c r="D320" s="41"/>
      <c r="E320" s="90"/>
      <c r="F320" s="90"/>
      <c r="G320" s="90"/>
      <c r="H320" s="89"/>
      <c r="I320" s="90"/>
      <c r="J320" s="90"/>
      <c r="K320" s="157"/>
      <c r="L320" s="157"/>
      <c r="M320" s="158"/>
      <c r="O320" s="82">
        <f t="shared" si="38"/>
        <v>0</v>
      </c>
    </row>
    <row r="321" spans="1:15" ht="15.95" customHeight="1" x14ac:dyDescent="0.2">
      <c r="A321" s="30"/>
      <c r="B321" s="46"/>
      <c r="C321" s="41"/>
      <c r="D321" s="41"/>
      <c r="E321" s="90"/>
      <c r="F321" s="90"/>
      <c r="G321" s="90"/>
      <c r="H321" s="89"/>
      <c r="I321" s="90"/>
      <c r="J321" s="90"/>
      <c r="K321" s="157"/>
      <c r="L321" s="157"/>
      <c r="M321" s="158"/>
      <c r="O321" s="82">
        <f t="shared" si="38"/>
        <v>0</v>
      </c>
    </row>
    <row r="322" spans="1:15" ht="15.95" customHeight="1" x14ac:dyDescent="0.2">
      <c r="A322" s="30"/>
      <c r="B322" s="46"/>
      <c r="C322" s="41"/>
      <c r="D322" s="41"/>
      <c r="E322" s="90"/>
      <c r="F322" s="90"/>
      <c r="G322" s="90"/>
      <c r="H322" s="89">
        <f t="shared" si="44"/>
        <v>0</v>
      </c>
      <c r="I322" s="90"/>
      <c r="J322" s="90"/>
      <c r="K322" s="157"/>
      <c r="L322" s="157"/>
      <c r="M322" s="158"/>
      <c r="O322" s="82">
        <f t="shared" si="38"/>
        <v>0</v>
      </c>
    </row>
    <row r="323" spans="1:15" ht="15.95" customHeight="1" x14ac:dyDescent="0.2">
      <c r="A323" s="30" t="s">
        <v>167</v>
      </c>
      <c r="B323" s="46" t="s">
        <v>7</v>
      </c>
      <c r="C323" s="41" t="s">
        <v>1</v>
      </c>
      <c r="D323" s="41">
        <v>1</v>
      </c>
      <c r="E323" s="90">
        <v>6.4</v>
      </c>
      <c r="F323" s="90"/>
      <c r="G323" s="90"/>
      <c r="H323" s="89">
        <f t="shared" si="44"/>
        <v>6.4</v>
      </c>
      <c r="I323" s="90">
        <f>H323</f>
        <v>6.4</v>
      </c>
      <c r="J323" s="90">
        <f>I323</f>
        <v>6.4</v>
      </c>
      <c r="K323" s="157">
        <v>6.4</v>
      </c>
      <c r="L323" s="157">
        <v>50</v>
      </c>
      <c r="M323" s="158">
        <f t="shared" si="35"/>
        <v>320</v>
      </c>
      <c r="O323" s="82">
        <f t="shared" si="38"/>
        <v>0</v>
      </c>
    </row>
    <row r="324" spans="1:15" ht="15.95" customHeight="1" x14ac:dyDescent="0.2">
      <c r="A324" s="30"/>
      <c r="B324" s="46"/>
      <c r="C324" s="41"/>
      <c r="D324" s="41"/>
      <c r="E324" s="90"/>
      <c r="F324" s="90"/>
      <c r="G324" s="90"/>
      <c r="H324" s="89"/>
      <c r="I324" s="90"/>
      <c r="J324" s="90"/>
      <c r="K324" s="163"/>
      <c r="L324" s="163"/>
      <c r="M324" s="158"/>
      <c r="O324" s="82">
        <f t="shared" si="38"/>
        <v>0</v>
      </c>
    </row>
    <row r="325" spans="1:15" ht="15.95" customHeight="1" x14ac:dyDescent="0.2">
      <c r="A325" s="30" t="s">
        <v>168</v>
      </c>
      <c r="B325" s="48" t="s">
        <v>265</v>
      </c>
      <c r="C325" s="41" t="s">
        <v>4</v>
      </c>
      <c r="D325" s="41"/>
      <c r="E325" s="90"/>
      <c r="F325" s="90"/>
      <c r="G325" s="90"/>
      <c r="H325" s="89">
        <f t="shared" si="44"/>
        <v>0</v>
      </c>
      <c r="I325" s="90"/>
      <c r="J325" s="90">
        <f>SUM(I327:I336)</f>
        <v>6.6</v>
      </c>
      <c r="K325" s="163">
        <v>8</v>
      </c>
      <c r="L325" s="163">
        <v>100</v>
      </c>
      <c r="M325" s="158">
        <f t="shared" si="35"/>
        <v>800</v>
      </c>
      <c r="O325" s="82">
        <f t="shared" si="38"/>
        <v>1.4000000000000004</v>
      </c>
    </row>
    <row r="326" spans="1:15" s="5" customFormat="1" ht="16.149999999999999" customHeight="1" x14ac:dyDescent="0.2">
      <c r="A326" s="30"/>
      <c r="B326" s="98" t="s">
        <v>464</v>
      </c>
      <c r="C326" s="32"/>
      <c r="D326" s="32"/>
      <c r="E326" s="89"/>
      <c r="F326" s="89"/>
      <c r="G326" s="89"/>
      <c r="H326" s="89"/>
      <c r="I326" s="89"/>
      <c r="K326" s="157"/>
      <c r="L326" s="157"/>
      <c r="M326" s="158"/>
      <c r="O326" s="82">
        <f t="shared" ref="O326:O389" si="46">K326-J326</f>
        <v>0</v>
      </c>
    </row>
    <row r="327" spans="1:15" s="5" customFormat="1" ht="16.149999999999999" customHeight="1" x14ac:dyDescent="0.2">
      <c r="A327" s="30"/>
      <c r="B327" s="105" t="s">
        <v>474</v>
      </c>
      <c r="C327" s="32"/>
      <c r="D327" s="32"/>
      <c r="E327" s="89"/>
      <c r="F327" s="89"/>
      <c r="G327" s="89"/>
      <c r="H327" s="89"/>
      <c r="I327" s="89"/>
      <c r="K327" s="157"/>
      <c r="L327" s="157"/>
      <c r="M327" s="158"/>
      <c r="O327" s="82">
        <f t="shared" si="46"/>
        <v>0</v>
      </c>
    </row>
    <row r="328" spans="1:15" ht="15.95" customHeight="1" x14ac:dyDescent="0.2">
      <c r="A328" s="30"/>
      <c r="B328" s="46" t="s">
        <v>477</v>
      </c>
      <c r="C328" s="41"/>
      <c r="D328" s="41">
        <v>2</v>
      </c>
      <c r="E328" s="90">
        <v>1.2</v>
      </c>
      <c r="F328" s="90">
        <v>0.6</v>
      </c>
      <c r="G328" s="90"/>
      <c r="H328" s="89">
        <f t="shared" ref="H328:H336" si="47">PRODUCT(D328:G328)</f>
        <v>1.44</v>
      </c>
      <c r="I328" s="90"/>
      <c r="J328" s="90"/>
      <c r="K328" s="157"/>
      <c r="L328" s="157"/>
      <c r="M328" s="158"/>
      <c r="O328" s="82">
        <f t="shared" si="46"/>
        <v>0</v>
      </c>
    </row>
    <row r="329" spans="1:15" ht="15.95" customHeight="1" x14ac:dyDescent="0.2">
      <c r="A329" s="30"/>
      <c r="B329" s="105" t="s">
        <v>475</v>
      </c>
      <c r="C329" s="41"/>
      <c r="D329" s="41"/>
      <c r="E329" s="90"/>
      <c r="F329" s="90"/>
      <c r="G329" s="90"/>
      <c r="H329" s="89">
        <f t="shared" si="47"/>
        <v>0</v>
      </c>
      <c r="I329" s="90"/>
      <c r="J329" s="90"/>
      <c r="K329" s="157"/>
      <c r="L329" s="157"/>
      <c r="M329" s="158"/>
      <c r="O329" s="82">
        <f t="shared" si="46"/>
        <v>0</v>
      </c>
    </row>
    <row r="330" spans="1:15" ht="15.95" customHeight="1" x14ac:dyDescent="0.2">
      <c r="A330" s="30"/>
      <c r="B330" s="46"/>
      <c r="C330" s="41"/>
      <c r="D330" s="41">
        <v>2</v>
      </c>
      <c r="E330" s="90">
        <v>1.2</v>
      </c>
      <c r="F330" s="90">
        <v>0.6</v>
      </c>
      <c r="G330" s="90"/>
      <c r="H330" s="89">
        <f t="shared" ref="H330" si="48">PRODUCT(D330:G330)</f>
        <v>1.44</v>
      </c>
      <c r="I330" s="90"/>
      <c r="J330" s="90"/>
      <c r="K330" s="157"/>
      <c r="L330" s="157"/>
      <c r="M330" s="158"/>
      <c r="O330" s="82">
        <f t="shared" si="46"/>
        <v>0</v>
      </c>
    </row>
    <row r="331" spans="1:15" ht="15.95" customHeight="1" x14ac:dyDescent="0.2">
      <c r="A331" s="30"/>
      <c r="B331" s="46"/>
      <c r="C331" s="41"/>
      <c r="D331" s="41"/>
      <c r="E331" s="90"/>
      <c r="F331" s="90"/>
      <c r="G331" s="90"/>
      <c r="H331" s="89">
        <f t="shared" si="47"/>
        <v>0</v>
      </c>
      <c r="I331" s="90">
        <f>SUM(H328:H330)</f>
        <v>2.88</v>
      </c>
      <c r="J331" s="90"/>
      <c r="K331" s="157"/>
      <c r="L331" s="157"/>
      <c r="M331" s="158"/>
      <c r="O331" s="82">
        <f t="shared" si="46"/>
        <v>0</v>
      </c>
    </row>
    <row r="332" spans="1:15" s="5" customFormat="1" ht="16.149999999999999" customHeight="1" x14ac:dyDescent="0.2">
      <c r="A332" s="30"/>
      <c r="B332" s="98" t="s">
        <v>465</v>
      </c>
      <c r="C332" s="32"/>
      <c r="D332" s="32"/>
      <c r="E332" s="89"/>
      <c r="F332" s="89"/>
      <c r="G332" s="89"/>
      <c r="H332" s="89">
        <f t="shared" si="47"/>
        <v>0</v>
      </c>
      <c r="I332" s="89"/>
      <c r="J332" s="89"/>
      <c r="K332" s="157"/>
      <c r="L332" s="157"/>
      <c r="M332" s="158"/>
      <c r="O332" s="82">
        <f t="shared" si="46"/>
        <v>0</v>
      </c>
    </row>
    <row r="333" spans="1:15" ht="15.95" customHeight="1" x14ac:dyDescent="0.2">
      <c r="A333" s="30"/>
      <c r="B333" s="46" t="s">
        <v>478</v>
      </c>
      <c r="C333" s="41"/>
      <c r="D333" s="41">
        <v>1</v>
      </c>
      <c r="E333" s="90">
        <v>3.1</v>
      </c>
      <c r="F333" s="90">
        <v>0.6</v>
      </c>
      <c r="G333" s="90"/>
      <c r="H333" s="89">
        <f t="shared" si="47"/>
        <v>1.8599999999999999</v>
      </c>
      <c r="I333" s="90"/>
      <c r="J333" s="90"/>
      <c r="K333" s="157"/>
      <c r="L333" s="157"/>
      <c r="M333" s="158"/>
      <c r="O333" s="82">
        <f t="shared" si="46"/>
        <v>0</v>
      </c>
    </row>
    <row r="334" spans="1:15" ht="15.95" customHeight="1" x14ac:dyDescent="0.2">
      <c r="A334" s="30"/>
      <c r="B334" s="46" t="s">
        <v>479</v>
      </c>
      <c r="C334" s="41"/>
      <c r="D334" s="41">
        <f>1</f>
        <v>1</v>
      </c>
      <c r="E334" s="90">
        <v>1.8</v>
      </c>
      <c r="F334" s="90">
        <v>0.6</v>
      </c>
      <c r="G334" s="90"/>
      <c r="H334" s="89">
        <f t="shared" si="47"/>
        <v>1.08</v>
      </c>
      <c r="I334" s="90"/>
      <c r="J334" s="90"/>
      <c r="K334" s="157"/>
      <c r="L334" s="157"/>
      <c r="M334" s="158"/>
      <c r="O334" s="82">
        <f t="shared" si="46"/>
        <v>0</v>
      </c>
    </row>
    <row r="335" spans="1:15" ht="15.95" customHeight="1" x14ac:dyDescent="0.2">
      <c r="A335" s="30"/>
      <c r="B335" s="46" t="s">
        <v>531</v>
      </c>
      <c r="C335" s="41"/>
      <c r="D335" s="32">
        <v>1</v>
      </c>
      <c r="E335" s="89">
        <v>1.3</v>
      </c>
      <c r="F335" s="89">
        <v>0.6</v>
      </c>
      <c r="G335" s="89"/>
      <c r="H335" s="89">
        <f t="shared" si="47"/>
        <v>0.78</v>
      </c>
      <c r="I335" s="90"/>
      <c r="J335" s="90"/>
      <c r="K335" s="157"/>
      <c r="L335" s="157"/>
      <c r="M335" s="158"/>
      <c r="O335" s="82">
        <f t="shared" si="46"/>
        <v>0</v>
      </c>
    </row>
    <row r="336" spans="1:15" ht="15.95" customHeight="1" x14ac:dyDescent="0.2">
      <c r="A336" s="30"/>
      <c r="B336" s="46"/>
      <c r="C336" s="41"/>
      <c r="D336" s="41"/>
      <c r="E336" s="90"/>
      <c r="F336" s="90"/>
      <c r="G336" s="90"/>
      <c r="H336" s="89">
        <f t="shared" si="47"/>
        <v>0</v>
      </c>
      <c r="I336" s="90">
        <f>SUM(H333:H335)</f>
        <v>3.7199999999999998</v>
      </c>
      <c r="J336" s="90"/>
      <c r="K336" s="157"/>
      <c r="L336" s="157"/>
      <c r="M336" s="158"/>
      <c r="O336" s="82">
        <f t="shared" si="46"/>
        <v>0</v>
      </c>
    </row>
    <row r="337" spans="1:15" ht="15.95" customHeight="1" x14ac:dyDescent="0.2">
      <c r="A337" s="30"/>
      <c r="B337" s="107"/>
      <c r="C337" s="41"/>
      <c r="D337" s="41"/>
      <c r="E337" s="90"/>
      <c r="F337" s="90"/>
      <c r="G337" s="90"/>
      <c r="H337" s="89"/>
      <c r="I337" s="90"/>
      <c r="J337" s="90"/>
      <c r="K337" s="163"/>
      <c r="L337" s="163"/>
      <c r="M337" s="158"/>
      <c r="O337" s="82">
        <f t="shared" si="46"/>
        <v>0</v>
      </c>
    </row>
    <row r="338" spans="1:15" ht="15.95" customHeight="1" x14ac:dyDescent="0.2">
      <c r="A338" s="30" t="s">
        <v>169</v>
      </c>
      <c r="B338" s="142" t="s">
        <v>266</v>
      </c>
      <c r="C338" s="41" t="s">
        <v>1</v>
      </c>
      <c r="D338" s="41"/>
      <c r="E338" s="90"/>
      <c r="F338" s="90"/>
      <c r="G338" s="90"/>
      <c r="H338" s="89">
        <f t="shared" si="44"/>
        <v>0</v>
      </c>
      <c r="I338" s="90"/>
      <c r="J338" s="90">
        <f>SUM(I340:I353)</f>
        <v>44.099999999999994</v>
      </c>
      <c r="K338" s="163">
        <v>40</v>
      </c>
      <c r="L338" s="163">
        <v>60</v>
      </c>
      <c r="M338" s="158">
        <f t="shared" si="35"/>
        <v>2400</v>
      </c>
      <c r="O338" s="82">
        <f t="shared" si="46"/>
        <v>-4.0999999999999943</v>
      </c>
    </row>
    <row r="339" spans="1:15" s="5" customFormat="1" ht="16.149999999999999" customHeight="1" x14ac:dyDescent="0.2">
      <c r="A339" s="30"/>
      <c r="B339" s="98" t="s">
        <v>464</v>
      </c>
      <c r="C339" s="32"/>
      <c r="D339" s="32"/>
      <c r="E339" s="89"/>
      <c r="F339" s="89"/>
      <c r="G339" s="89"/>
      <c r="H339" s="89"/>
      <c r="I339" s="89"/>
      <c r="K339" s="157"/>
      <c r="L339" s="157"/>
      <c r="M339" s="158"/>
      <c r="O339" s="82">
        <f t="shared" si="46"/>
        <v>0</v>
      </c>
    </row>
    <row r="340" spans="1:15" s="5" customFormat="1" ht="16.149999999999999" customHeight="1" x14ac:dyDescent="0.2">
      <c r="A340" s="30"/>
      <c r="B340" s="105" t="s">
        <v>474</v>
      </c>
      <c r="C340" s="32"/>
      <c r="D340" s="41">
        <v>12</v>
      </c>
      <c r="E340" s="90">
        <v>0.9</v>
      </c>
      <c r="F340" s="90"/>
      <c r="G340" s="90"/>
      <c r="H340" s="89">
        <f t="shared" ref="H340:H353" si="49">PRODUCT(D340:G340)</f>
        <v>10.8</v>
      </c>
      <c r="I340" s="89"/>
      <c r="K340" s="157"/>
      <c r="L340" s="157"/>
      <c r="M340" s="158"/>
      <c r="O340" s="82">
        <f t="shared" si="46"/>
        <v>0</v>
      </c>
    </row>
    <row r="341" spans="1:15" ht="15.95" customHeight="1" x14ac:dyDescent="0.2">
      <c r="A341" s="30"/>
      <c r="B341" s="46"/>
      <c r="C341" s="41"/>
      <c r="D341" s="41"/>
      <c r="E341" s="90"/>
      <c r="F341" s="90"/>
      <c r="G341" s="90"/>
      <c r="H341" s="89">
        <f t="shared" si="49"/>
        <v>0</v>
      </c>
      <c r="I341" s="89"/>
      <c r="J341" s="90"/>
      <c r="K341" s="157"/>
      <c r="L341" s="157"/>
      <c r="M341" s="158"/>
      <c r="O341" s="82">
        <f t="shared" si="46"/>
        <v>0</v>
      </c>
    </row>
    <row r="342" spans="1:15" ht="15.95" customHeight="1" x14ac:dyDescent="0.2">
      <c r="A342" s="30"/>
      <c r="B342" s="105" t="s">
        <v>475</v>
      </c>
      <c r="C342" s="41"/>
      <c r="D342" s="41">
        <v>12</v>
      </c>
      <c r="E342" s="90">
        <v>0.9</v>
      </c>
      <c r="F342" s="90"/>
      <c r="G342" s="90"/>
      <c r="H342" s="89">
        <f t="shared" si="49"/>
        <v>10.8</v>
      </c>
      <c r="I342" s="90"/>
      <c r="J342" s="90"/>
      <c r="K342" s="157"/>
      <c r="L342" s="157"/>
      <c r="M342" s="158"/>
      <c r="O342" s="82">
        <f t="shared" si="46"/>
        <v>0</v>
      </c>
    </row>
    <row r="343" spans="1:15" ht="15.95" customHeight="1" x14ac:dyDescent="0.2">
      <c r="A343" s="30"/>
      <c r="B343" s="46"/>
      <c r="C343" s="41"/>
      <c r="D343" s="41"/>
      <c r="E343" s="90"/>
      <c r="F343" s="90"/>
      <c r="G343" s="90"/>
      <c r="H343" s="89"/>
      <c r="I343" s="90">
        <f>SUM(H340:H343)</f>
        <v>21.6</v>
      </c>
      <c r="J343" s="90"/>
      <c r="K343" s="157"/>
      <c r="L343" s="157"/>
      <c r="M343" s="158"/>
      <c r="O343" s="82">
        <f t="shared" si="46"/>
        <v>0</v>
      </c>
    </row>
    <row r="344" spans="1:15" ht="15.95" customHeight="1" x14ac:dyDescent="0.2">
      <c r="A344" s="30"/>
      <c r="B344" s="46"/>
      <c r="C344" s="41"/>
      <c r="D344" s="32"/>
      <c r="E344" s="89"/>
      <c r="F344" s="89"/>
      <c r="G344" s="89"/>
      <c r="H344" s="89">
        <f t="shared" si="49"/>
        <v>0</v>
      </c>
      <c r="I344" s="89"/>
      <c r="J344" s="90"/>
      <c r="K344" s="157"/>
      <c r="L344" s="157"/>
      <c r="M344" s="158"/>
      <c r="O344" s="82">
        <f t="shared" si="46"/>
        <v>0</v>
      </c>
    </row>
    <row r="345" spans="1:15" s="5" customFormat="1" ht="16.149999999999999" customHeight="1" x14ac:dyDescent="0.2">
      <c r="A345" s="30"/>
      <c r="B345" s="98" t="s">
        <v>465</v>
      </c>
      <c r="C345" s="32"/>
      <c r="D345" s="41">
        <v>9</v>
      </c>
      <c r="E345" s="90">
        <v>0.9</v>
      </c>
      <c r="F345" s="90"/>
      <c r="G345" s="90"/>
      <c r="H345" s="89">
        <f t="shared" si="49"/>
        <v>8.1</v>
      </c>
      <c r="I345" s="90"/>
      <c r="J345" s="89"/>
      <c r="K345" s="157"/>
      <c r="L345" s="157"/>
      <c r="M345" s="158"/>
      <c r="O345" s="82">
        <f t="shared" si="46"/>
        <v>0</v>
      </c>
    </row>
    <row r="346" spans="1:15" ht="15.95" customHeight="1" x14ac:dyDescent="0.2">
      <c r="A346" s="30"/>
      <c r="B346" s="46"/>
      <c r="C346" s="41"/>
      <c r="D346" s="41">
        <v>2</v>
      </c>
      <c r="E346" s="90">
        <v>0.9</v>
      </c>
      <c r="F346" s="90"/>
      <c r="G346" s="90"/>
      <c r="H346" s="89">
        <f t="shared" ref="H346" si="50">PRODUCT(D346:G346)</f>
        <v>1.8</v>
      </c>
      <c r="I346" s="90"/>
      <c r="J346" s="90"/>
      <c r="K346" s="157"/>
      <c r="L346" s="157"/>
      <c r="M346" s="158"/>
      <c r="O346" s="82">
        <f t="shared" si="46"/>
        <v>0</v>
      </c>
    </row>
    <row r="347" spans="1:15" ht="15.95" customHeight="1" x14ac:dyDescent="0.2">
      <c r="A347" s="30"/>
      <c r="B347" s="46"/>
      <c r="C347" s="41"/>
      <c r="D347" s="41"/>
      <c r="E347" s="90"/>
      <c r="F347" s="90"/>
      <c r="G347" s="90"/>
      <c r="H347" s="89"/>
      <c r="I347" s="90">
        <f>SUM(H345:H346)</f>
        <v>9.9</v>
      </c>
      <c r="J347" s="90"/>
      <c r="K347" s="157"/>
      <c r="L347" s="157"/>
      <c r="M347" s="158"/>
      <c r="O347" s="82">
        <f t="shared" si="46"/>
        <v>0</v>
      </c>
    </row>
    <row r="348" spans="1:15" ht="15.95" customHeight="1" x14ac:dyDescent="0.2">
      <c r="A348" s="30"/>
      <c r="B348" s="46"/>
      <c r="C348" s="41"/>
      <c r="D348" s="32"/>
      <c r="E348" s="89"/>
      <c r="F348" s="89"/>
      <c r="G348" s="89"/>
      <c r="H348" s="89">
        <f t="shared" si="49"/>
        <v>0</v>
      </c>
      <c r="I348" s="89"/>
      <c r="J348" s="90"/>
      <c r="K348" s="157"/>
      <c r="L348" s="157"/>
      <c r="M348" s="158"/>
      <c r="O348" s="82">
        <f t="shared" si="46"/>
        <v>0</v>
      </c>
    </row>
    <row r="349" spans="1:15" s="5" customFormat="1" ht="16.149999999999999" customHeight="1" x14ac:dyDescent="0.2">
      <c r="A349" s="30"/>
      <c r="B349" s="98" t="s">
        <v>466</v>
      </c>
      <c r="C349" s="32"/>
      <c r="D349" s="41">
        <v>12</v>
      </c>
      <c r="E349" s="90">
        <v>0.9</v>
      </c>
      <c r="F349" s="90"/>
      <c r="G349" s="90"/>
      <c r="H349" s="89">
        <f t="shared" si="49"/>
        <v>10.8</v>
      </c>
      <c r="I349" s="90"/>
      <c r="J349" s="89"/>
      <c r="K349" s="157"/>
      <c r="L349" s="157"/>
      <c r="M349" s="158"/>
      <c r="O349" s="82">
        <f t="shared" si="46"/>
        <v>0</v>
      </c>
    </row>
    <row r="350" spans="1:15" ht="15.95" customHeight="1" x14ac:dyDescent="0.2">
      <c r="A350" s="30"/>
      <c r="B350" s="46"/>
      <c r="C350" s="41"/>
      <c r="D350" s="41"/>
      <c r="E350" s="90"/>
      <c r="F350" s="90"/>
      <c r="G350" s="90"/>
      <c r="H350" s="89"/>
      <c r="I350" s="90">
        <f>SUM(H349:H350)</f>
        <v>10.8</v>
      </c>
      <c r="J350" s="90"/>
      <c r="K350" s="157"/>
      <c r="L350" s="157"/>
      <c r="M350" s="158"/>
      <c r="O350" s="82">
        <f t="shared" si="46"/>
        <v>0</v>
      </c>
    </row>
    <row r="351" spans="1:15" ht="15.95" customHeight="1" x14ac:dyDescent="0.2">
      <c r="A351" s="30"/>
      <c r="B351" s="46"/>
      <c r="C351" s="41"/>
      <c r="D351" s="32"/>
      <c r="E351" s="89"/>
      <c r="F351" s="89"/>
      <c r="G351" s="89"/>
      <c r="H351" s="89">
        <f t="shared" si="49"/>
        <v>0</v>
      </c>
      <c r="I351" s="89"/>
      <c r="J351" s="90"/>
      <c r="K351" s="157"/>
      <c r="L351" s="157"/>
      <c r="M351" s="158"/>
      <c r="O351" s="82">
        <f t="shared" si="46"/>
        <v>0</v>
      </c>
    </row>
    <row r="352" spans="1:15" s="5" customFormat="1" ht="16.149999999999999" customHeight="1" x14ac:dyDescent="0.2">
      <c r="A352" s="30"/>
      <c r="B352" s="98" t="s">
        <v>467</v>
      </c>
      <c r="C352" s="32"/>
      <c r="D352" s="41">
        <v>2</v>
      </c>
      <c r="E352" s="90">
        <v>0.9</v>
      </c>
      <c r="F352" s="90"/>
      <c r="G352" s="90"/>
      <c r="H352" s="89">
        <f t="shared" ref="H352" si="51">PRODUCT(D352:G352)</f>
        <v>1.8</v>
      </c>
      <c r="I352" s="90"/>
      <c r="J352" s="89"/>
      <c r="K352" s="157"/>
      <c r="L352" s="157"/>
      <c r="M352" s="158"/>
      <c r="O352" s="82">
        <f t="shared" si="46"/>
        <v>0</v>
      </c>
    </row>
    <row r="353" spans="1:15" ht="15.95" customHeight="1" x14ac:dyDescent="0.2">
      <c r="A353" s="30"/>
      <c r="B353" s="46"/>
      <c r="C353" s="41"/>
      <c r="D353" s="41"/>
      <c r="E353" s="90"/>
      <c r="F353" s="90"/>
      <c r="G353" s="90"/>
      <c r="H353" s="89">
        <f t="shared" si="49"/>
        <v>0</v>
      </c>
      <c r="I353" s="90">
        <f>SUM(H352:H353)</f>
        <v>1.8</v>
      </c>
      <c r="J353" s="90"/>
      <c r="K353" s="157"/>
      <c r="L353" s="157"/>
      <c r="M353" s="158"/>
      <c r="O353" s="82">
        <f t="shared" si="46"/>
        <v>0</v>
      </c>
    </row>
    <row r="354" spans="1:15" ht="15.95" customHeight="1" x14ac:dyDescent="0.2">
      <c r="A354" s="30"/>
      <c r="B354" s="46"/>
      <c r="C354" s="41"/>
      <c r="D354" s="41"/>
      <c r="E354" s="90"/>
      <c r="F354" s="90"/>
      <c r="G354" s="90"/>
      <c r="H354" s="89"/>
      <c r="I354" s="90"/>
      <c r="J354" s="90"/>
      <c r="K354" s="157"/>
      <c r="L354" s="157"/>
      <c r="M354" s="158"/>
      <c r="O354" s="82">
        <f t="shared" si="46"/>
        <v>0</v>
      </c>
    </row>
    <row r="355" spans="1:15" ht="18" customHeight="1" x14ac:dyDescent="0.2">
      <c r="A355" s="250" t="s">
        <v>101</v>
      </c>
      <c r="B355" s="251"/>
      <c r="C355" s="251"/>
      <c r="D355" s="251"/>
      <c r="E355" s="251"/>
      <c r="F355" s="251"/>
      <c r="G355" s="251"/>
      <c r="H355" s="251"/>
      <c r="I355" s="251"/>
      <c r="J355" s="251"/>
      <c r="K355" s="251"/>
      <c r="L355" s="252"/>
      <c r="M355" s="159">
        <f>SUM(M243:M338)</f>
        <v>301320</v>
      </c>
      <c r="O355" s="82">
        <f t="shared" si="46"/>
        <v>0</v>
      </c>
    </row>
    <row r="356" spans="1:15" ht="18" customHeight="1" x14ac:dyDescent="0.2">
      <c r="A356" s="24"/>
      <c r="B356" s="25" t="s">
        <v>170</v>
      </c>
      <c r="C356" s="26"/>
      <c r="D356" s="26"/>
      <c r="E356" s="88"/>
      <c r="F356" s="88"/>
      <c r="G356" s="88"/>
      <c r="H356" s="88"/>
      <c r="I356" s="88"/>
      <c r="J356" s="88"/>
      <c r="K356" s="155"/>
      <c r="L356" s="155"/>
      <c r="M356" s="158"/>
      <c r="O356" s="82">
        <f t="shared" si="46"/>
        <v>0</v>
      </c>
    </row>
    <row r="357" spans="1:15" ht="15.95" customHeight="1" x14ac:dyDescent="0.2">
      <c r="A357" s="40" t="s">
        <v>336</v>
      </c>
      <c r="B357" s="46" t="s">
        <v>304</v>
      </c>
      <c r="C357" s="41" t="s">
        <v>4</v>
      </c>
      <c r="D357" s="41"/>
      <c r="E357" s="90"/>
      <c r="F357" s="90"/>
      <c r="G357" s="90"/>
      <c r="H357" s="90"/>
      <c r="I357" s="90"/>
      <c r="J357" s="90">
        <f>SUM(I359:I430)</f>
        <v>689.67999999999984</v>
      </c>
      <c r="K357" s="163">
        <v>695</v>
      </c>
      <c r="L357" s="163">
        <v>100</v>
      </c>
      <c r="M357" s="158">
        <f t="shared" ref="M357:M449" si="52">+L357*K357</f>
        <v>69500</v>
      </c>
      <c r="O357" s="82">
        <f t="shared" si="46"/>
        <v>5.3200000000001637</v>
      </c>
    </row>
    <row r="358" spans="1:15" s="5" customFormat="1" ht="16.149999999999999" customHeight="1" x14ac:dyDescent="0.2">
      <c r="A358" s="30"/>
      <c r="B358" s="98" t="s">
        <v>464</v>
      </c>
      <c r="C358" s="32"/>
      <c r="D358" s="32"/>
      <c r="E358" s="89"/>
      <c r="F358" s="89"/>
      <c r="G358" s="89"/>
      <c r="H358" s="89"/>
      <c r="I358" s="89"/>
      <c r="K358" s="157"/>
      <c r="L358" s="157"/>
      <c r="M358" s="158"/>
      <c r="O358" s="82">
        <f t="shared" si="46"/>
        <v>0</v>
      </c>
    </row>
    <row r="359" spans="1:15" s="5" customFormat="1" ht="16.149999999999999" customHeight="1" x14ac:dyDescent="0.2">
      <c r="A359" s="30"/>
      <c r="B359" s="105" t="s">
        <v>474</v>
      </c>
      <c r="C359" s="32"/>
      <c r="D359" s="32"/>
      <c r="E359" s="89"/>
      <c r="F359" s="89"/>
      <c r="G359" s="89"/>
      <c r="I359" s="89"/>
      <c r="K359" s="157"/>
      <c r="L359" s="157"/>
      <c r="M359" s="158"/>
      <c r="O359" s="82">
        <f t="shared" si="46"/>
        <v>0</v>
      </c>
    </row>
    <row r="360" spans="1:15" s="5" customFormat="1" ht="16.149999999999999" customHeight="1" x14ac:dyDescent="0.2">
      <c r="A360" s="30"/>
      <c r="B360" s="44"/>
      <c r="C360" s="41"/>
      <c r="D360" s="41">
        <v>2</v>
      </c>
      <c r="E360" s="109">
        <f>17.8-0.25*3</f>
        <v>17.05</v>
      </c>
      <c r="F360" s="109"/>
      <c r="G360" s="109">
        <f>3+0.1+0.25-0.45</f>
        <v>2.9</v>
      </c>
      <c r="H360" s="89">
        <f>PRODUCT(D360:G360)</f>
        <v>98.89</v>
      </c>
      <c r="I360" s="89"/>
      <c r="K360" s="157"/>
      <c r="L360" s="157"/>
      <c r="M360" s="158"/>
      <c r="O360" s="82">
        <f t="shared" si="46"/>
        <v>0</v>
      </c>
    </row>
    <row r="361" spans="1:15" s="5" customFormat="1" ht="16.149999999999999" customHeight="1" x14ac:dyDescent="0.2">
      <c r="A361" s="30"/>
      <c r="B361" s="44"/>
      <c r="C361" s="41"/>
      <c r="D361" s="41">
        <v>3</v>
      </c>
      <c r="E361" s="109">
        <f>7.6-0.25*3</f>
        <v>6.85</v>
      </c>
      <c r="F361" s="109"/>
      <c r="G361" s="109">
        <f>3+0.1+0.25-0.45</f>
        <v>2.9</v>
      </c>
      <c r="H361" s="89">
        <f t="shared" ref="H361:H366" si="53">PRODUCT(D361:G361)</f>
        <v>59.594999999999992</v>
      </c>
      <c r="I361" s="89"/>
      <c r="K361" s="157"/>
      <c r="L361" s="157"/>
      <c r="M361" s="158"/>
      <c r="O361" s="82">
        <f t="shared" si="46"/>
        <v>0</v>
      </c>
    </row>
    <row r="362" spans="1:15" s="5" customFormat="1" ht="16.149999999999999" customHeight="1" x14ac:dyDescent="0.2">
      <c r="A362" s="30"/>
      <c r="B362" s="44"/>
      <c r="C362" s="41"/>
      <c r="D362" s="41">
        <v>1</v>
      </c>
      <c r="E362" s="109">
        <v>4.2</v>
      </c>
      <c r="F362" s="109"/>
      <c r="G362" s="109">
        <f t="shared" ref="G362:G363" si="54">3+0.1+0.25-0.45</f>
        <v>2.9</v>
      </c>
      <c r="H362" s="89">
        <f t="shared" si="53"/>
        <v>12.18</v>
      </c>
      <c r="I362" s="89"/>
      <c r="K362" s="157"/>
      <c r="L362" s="157"/>
      <c r="M362" s="158"/>
      <c r="O362" s="82">
        <f t="shared" si="46"/>
        <v>0</v>
      </c>
    </row>
    <row r="363" spans="1:15" s="5" customFormat="1" ht="16.149999999999999" customHeight="1" x14ac:dyDescent="0.2">
      <c r="A363" s="30"/>
      <c r="B363" s="44"/>
      <c r="C363" s="41"/>
      <c r="D363" s="41">
        <v>1</v>
      </c>
      <c r="E363" s="109">
        <v>3.4</v>
      </c>
      <c r="F363" s="109"/>
      <c r="G363" s="109">
        <f t="shared" si="54"/>
        <v>2.9</v>
      </c>
      <c r="H363" s="89">
        <f t="shared" si="53"/>
        <v>9.86</v>
      </c>
      <c r="I363" s="89"/>
      <c r="K363" s="157"/>
      <c r="L363" s="157"/>
      <c r="M363" s="158"/>
      <c r="O363" s="82">
        <f t="shared" si="46"/>
        <v>0</v>
      </c>
    </row>
    <row r="364" spans="1:15" s="5" customFormat="1" ht="16.149999999999999" customHeight="1" x14ac:dyDescent="0.2">
      <c r="A364" s="30"/>
      <c r="B364" s="110" t="s">
        <v>480</v>
      </c>
      <c r="C364" s="41"/>
      <c r="D364" s="41"/>
      <c r="E364" s="109"/>
      <c r="F364" s="109"/>
      <c r="G364" s="109"/>
      <c r="H364" s="89">
        <f t="shared" si="53"/>
        <v>0</v>
      </c>
      <c r="I364" s="89"/>
      <c r="K364" s="157"/>
      <c r="L364" s="157"/>
      <c r="M364" s="158"/>
      <c r="O364" s="82">
        <f t="shared" si="46"/>
        <v>0</v>
      </c>
    </row>
    <row r="365" spans="1:15" ht="15.95" customHeight="1" x14ac:dyDescent="0.2">
      <c r="A365" s="30"/>
      <c r="B365" s="41" t="s">
        <v>424</v>
      </c>
      <c r="C365" s="41"/>
      <c r="D365" s="41">
        <v>-12</v>
      </c>
      <c r="E365" s="90">
        <v>0.9</v>
      </c>
      <c r="F365" s="90"/>
      <c r="G365" s="90">
        <v>1.2</v>
      </c>
      <c r="H365" s="89">
        <f t="shared" si="53"/>
        <v>-12.96</v>
      </c>
      <c r="I365" s="89"/>
      <c r="J365" s="90"/>
      <c r="K365" s="157"/>
      <c r="L365" s="157"/>
      <c r="M365" s="158"/>
      <c r="O365" s="82">
        <f t="shared" si="46"/>
        <v>0</v>
      </c>
    </row>
    <row r="366" spans="1:15" ht="15.95" customHeight="1" x14ac:dyDescent="0.2">
      <c r="A366" s="30"/>
      <c r="B366" s="41" t="s">
        <v>481</v>
      </c>
      <c r="C366" s="41"/>
      <c r="D366" s="41">
        <v>-4</v>
      </c>
      <c r="E366" s="90">
        <v>1</v>
      </c>
      <c r="F366" s="90"/>
      <c r="G366" s="90">
        <v>2.4</v>
      </c>
      <c r="H366" s="89">
        <f t="shared" si="53"/>
        <v>-9.6</v>
      </c>
      <c r="I366" s="89"/>
      <c r="J366" s="108"/>
      <c r="K366" s="157"/>
      <c r="L366" s="157"/>
      <c r="M366" s="158"/>
      <c r="O366" s="82">
        <f t="shared" si="46"/>
        <v>0</v>
      </c>
    </row>
    <row r="367" spans="1:15" ht="15.95" customHeight="1" x14ac:dyDescent="0.2">
      <c r="A367" s="30"/>
      <c r="B367" s="46"/>
      <c r="C367" s="41"/>
      <c r="D367" s="41"/>
      <c r="E367" s="90"/>
      <c r="F367" s="90"/>
      <c r="G367" s="90"/>
      <c r="H367" s="89"/>
      <c r="I367" s="89">
        <f>SUM(H359:H367)</f>
        <v>157.96499999999997</v>
      </c>
      <c r="J367" s="108"/>
      <c r="K367" s="157"/>
      <c r="L367" s="157"/>
      <c r="M367" s="158"/>
      <c r="O367" s="82">
        <f t="shared" si="46"/>
        <v>0</v>
      </c>
    </row>
    <row r="368" spans="1:15" ht="15.95" customHeight="1" x14ac:dyDescent="0.2">
      <c r="A368" s="30"/>
      <c r="B368" s="105" t="s">
        <v>475</v>
      </c>
      <c r="C368" s="41"/>
      <c r="D368" s="41"/>
      <c r="E368" s="90"/>
      <c r="F368" s="90"/>
      <c r="G368" s="90"/>
      <c r="H368" s="89">
        <f t="shared" ref="H368:I378" si="55">PRODUCT(D368:G368)</f>
        <v>0</v>
      </c>
      <c r="I368" s="89">
        <f t="shared" si="55"/>
        <v>0</v>
      </c>
      <c r="J368" s="90"/>
      <c r="K368" s="157"/>
      <c r="L368" s="157"/>
      <c r="M368" s="158"/>
      <c r="O368" s="82">
        <f t="shared" si="46"/>
        <v>0</v>
      </c>
    </row>
    <row r="369" spans="1:15" s="5" customFormat="1" ht="16.149999999999999" customHeight="1" x14ac:dyDescent="0.2">
      <c r="A369" s="30"/>
      <c r="B369" s="44" t="s">
        <v>482</v>
      </c>
      <c r="C369" s="41"/>
      <c r="D369" s="41">
        <v>2</v>
      </c>
      <c r="E369" s="109">
        <f>17.8-0.25*3</f>
        <v>17.05</v>
      </c>
      <c r="F369" s="109"/>
      <c r="G369" s="109">
        <f>3+0.1+0.25-0.45</f>
        <v>2.9</v>
      </c>
      <c r="H369" s="89">
        <f t="shared" si="55"/>
        <v>98.89</v>
      </c>
      <c r="I369" s="89"/>
      <c r="K369" s="157"/>
      <c r="L369" s="157"/>
      <c r="M369" s="158"/>
      <c r="O369" s="82">
        <f t="shared" si="46"/>
        <v>0</v>
      </c>
    </row>
    <row r="370" spans="1:15" s="5" customFormat="1" ht="16.149999999999999" customHeight="1" x14ac:dyDescent="0.2">
      <c r="A370" s="30"/>
      <c r="B370" s="44"/>
      <c r="C370" s="41"/>
      <c r="D370" s="41">
        <v>3</v>
      </c>
      <c r="E370" s="109">
        <f>7.6-0.25*3</f>
        <v>6.85</v>
      </c>
      <c r="F370" s="109"/>
      <c r="G370" s="109">
        <f>3+0.1+0.25-0.45</f>
        <v>2.9</v>
      </c>
      <c r="H370" s="89">
        <f t="shared" si="55"/>
        <v>59.594999999999992</v>
      </c>
      <c r="I370" s="89"/>
      <c r="K370" s="157"/>
      <c r="L370" s="157"/>
      <c r="M370" s="158"/>
      <c r="O370" s="82">
        <f t="shared" si="46"/>
        <v>0</v>
      </c>
    </row>
    <row r="371" spans="1:15" s="5" customFormat="1" ht="16.149999999999999" customHeight="1" x14ac:dyDescent="0.2">
      <c r="A371" s="30"/>
      <c r="B371" s="44" t="s">
        <v>483</v>
      </c>
      <c r="C371" s="41"/>
      <c r="D371" s="41">
        <v>1</v>
      </c>
      <c r="E371" s="109">
        <v>4.2</v>
      </c>
      <c r="F371" s="109"/>
      <c r="G371" s="109">
        <f t="shared" ref="G371:G372" si="56">3+0.1+0.25-0.45</f>
        <v>2.9</v>
      </c>
      <c r="H371" s="89">
        <f t="shared" si="55"/>
        <v>12.18</v>
      </c>
      <c r="I371" s="89"/>
      <c r="K371" s="157"/>
      <c r="L371" s="157"/>
      <c r="M371" s="158"/>
      <c r="O371" s="82">
        <f t="shared" si="46"/>
        <v>0</v>
      </c>
    </row>
    <row r="372" spans="1:15" s="5" customFormat="1" ht="16.149999999999999" customHeight="1" x14ac:dyDescent="0.2">
      <c r="A372" s="30"/>
      <c r="B372" s="44"/>
      <c r="C372" s="41"/>
      <c r="D372" s="41">
        <v>1</v>
      </c>
      <c r="E372" s="109">
        <v>3.4</v>
      </c>
      <c r="F372" s="109"/>
      <c r="G372" s="109">
        <f t="shared" si="56"/>
        <v>2.9</v>
      </c>
      <c r="H372" s="89">
        <f t="shared" si="55"/>
        <v>9.86</v>
      </c>
      <c r="I372" s="89"/>
      <c r="K372" s="157"/>
      <c r="L372" s="157"/>
      <c r="M372" s="158"/>
      <c r="O372" s="82">
        <f t="shared" si="46"/>
        <v>0</v>
      </c>
    </row>
    <row r="373" spans="1:15" s="5" customFormat="1" ht="16.149999999999999" customHeight="1" x14ac:dyDescent="0.2">
      <c r="A373" s="30"/>
      <c r="B373" s="44"/>
      <c r="C373" s="41"/>
      <c r="D373" s="41">
        <v>1</v>
      </c>
      <c r="E373" s="109">
        <f>1.8+2.5</f>
        <v>4.3</v>
      </c>
      <c r="F373" s="109"/>
      <c r="G373" s="109">
        <v>1.1000000000000001</v>
      </c>
      <c r="H373" s="89">
        <f t="shared" si="55"/>
        <v>4.7300000000000004</v>
      </c>
      <c r="I373" s="89"/>
      <c r="K373" s="157"/>
      <c r="L373" s="157"/>
      <c r="M373" s="158"/>
      <c r="O373" s="82">
        <f t="shared" si="46"/>
        <v>0</v>
      </c>
    </row>
    <row r="374" spans="1:15" s="5" customFormat="1" ht="16.149999999999999" customHeight="1" x14ac:dyDescent="0.2">
      <c r="A374" s="30"/>
      <c r="B374" s="44" t="s">
        <v>484</v>
      </c>
      <c r="C374" s="41"/>
      <c r="D374" s="41">
        <v>1</v>
      </c>
      <c r="E374" s="109">
        <v>21.4</v>
      </c>
      <c r="F374" s="109"/>
      <c r="G374" s="109">
        <v>1.1000000000000001</v>
      </c>
      <c r="H374" s="89">
        <f t="shared" si="55"/>
        <v>23.54</v>
      </c>
      <c r="I374" s="89"/>
      <c r="K374" s="157"/>
      <c r="L374" s="157"/>
      <c r="M374" s="158"/>
      <c r="O374" s="82">
        <f t="shared" si="46"/>
        <v>0</v>
      </c>
    </row>
    <row r="375" spans="1:15" s="5" customFormat="1" ht="16.149999999999999" customHeight="1" x14ac:dyDescent="0.2">
      <c r="A375" s="30"/>
      <c r="B375" s="44"/>
      <c r="C375" s="41"/>
      <c r="D375" s="41">
        <v>2</v>
      </c>
      <c r="E375" s="109">
        <v>2.2000000000000002</v>
      </c>
      <c r="F375" s="109"/>
      <c r="G375" s="109">
        <v>1.1000000000000001</v>
      </c>
      <c r="H375" s="89">
        <f t="shared" si="55"/>
        <v>4.8400000000000007</v>
      </c>
      <c r="I375" s="89"/>
      <c r="K375" s="157"/>
      <c r="L375" s="157"/>
      <c r="M375" s="158"/>
      <c r="O375" s="82">
        <f t="shared" si="46"/>
        <v>0</v>
      </c>
    </row>
    <row r="376" spans="1:15" s="5" customFormat="1" ht="16.149999999999999" customHeight="1" x14ac:dyDescent="0.2">
      <c r="A376" s="30"/>
      <c r="B376" s="110" t="s">
        <v>480</v>
      </c>
      <c r="C376" s="41"/>
      <c r="D376" s="41"/>
      <c r="E376" s="109"/>
      <c r="F376" s="109"/>
      <c r="G376" s="109"/>
      <c r="H376" s="89">
        <f t="shared" si="55"/>
        <v>0</v>
      </c>
      <c r="I376" s="89"/>
      <c r="K376" s="157"/>
      <c r="L376" s="157"/>
      <c r="M376" s="158"/>
      <c r="O376" s="82">
        <f t="shared" si="46"/>
        <v>0</v>
      </c>
    </row>
    <row r="377" spans="1:15" ht="15.95" customHeight="1" x14ac:dyDescent="0.2">
      <c r="A377" s="30"/>
      <c r="B377" s="41" t="s">
        <v>424</v>
      </c>
      <c r="C377" s="41"/>
      <c r="D377" s="41">
        <v>-12</v>
      </c>
      <c r="E377" s="90">
        <v>0.9</v>
      </c>
      <c r="F377" s="90"/>
      <c r="G377" s="90">
        <v>1.2</v>
      </c>
      <c r="H377" s="89">
        <f t="shared" si="55"/>
        <v>-12.96</v>
      </c>
      <c r="I377" s="89"/>
      <c r="J377" s="90"/>
      <c r="K377" s="157"/>
      <c r="L377" s="157"/>
      <c r="M377" s="158"/>
      <c r="O377" s="82">
        <f t="shared" si="46"/>
        <v>0</v>
      </c>
    </row>
    <row r="378" spans="1:15" ht="15.95" customHeight="1" x14ac:dyDescent="0.2">
      <c r="A378" s="30"/>
      <c r="B378" s="41" t="s">
        <v>481</v>
      </c>
      <c r="C378" s="41"/>
      <c r="D378" s="41">
        <v>-4</v>
      </c>
      <c r="E378" s="90">
        <v>1</v>
      </c>
      <c r="F378" s="90"/>
      <c r="G378" s="90">
        <v>2.4</v>
      </c>
      <c r="H378" s="89">
        <f t="shared" si="55"/>
        <v>-9.6</v>
      </c>
      <c r="I378" s="89"/>
      <c r="J378" s="108"/>
      <c r="K378" s="157"/>
      <c r="L378" s="157"/>
      <c r="M378" s="158"/>
      <c r="O378" s="82">
        <f t="shared" si="46"/>
        <v>0</v>
      </c>
    </row>
    <row r="379" spans="1:15" ht="15.95" customHeight="1" x14ac:dyDescent="0.2">
      <c r="A379" s="30"/>
      <c r="B379" s="46"/>
      <c r="C379" s="41"/>
      <c r="D379" s="41"/>
      <c r="E379" s="90"/>
      <c r="F379" s="90"/>
      <c r="G379" s="90"/>
      <c r="H379" s="89"/>
      <c r="I379" s="89">
        <f>SUM(H369:H379)</f>
        <v>191.07499999999996</v>
      </c>
      <c r="J379" s="108"/>
      <c r="K379" s="157"/>
      <c r="L379" s="157"/>
      <c r="M379" s="158"/>
      <c r="O379" s="82">
        <f t="shared" si="46"/>
        <v>0</v>
      </c>
    </row>
    <row r="380" spans="1:15" s="5" customFormat="1" ht="16.149999999999999" customHeight="1" x14ac:dyDescent="0.2">
      <c r="A380" s="30"/>
      <c r="B380" s="98" t="s">
        <v>465</v>
      </c>
      <c r="C380" s="32"/>
      <c r="D380" s="32"/>
      <c r="E380" s="89"/>
      <c r="F380" s="89"/>
      <c r="G380" s="89"/>
      <c r="H380" s="89">
        <f t="shared" ref="H380:H385" si="57">PRODUCT(D380:G380)</f>
        <v>0</v>
      </c>
      <c r="I380" s="89"/>
      <c r="J380" s="89"/>
      <c r="K380" s="157"/>
      <c r="L380" s="157"/>
      <c r="M380" s="158"/>
      <c r="O380" s="82">
        <f t="shared" si="46"/>
        <v>0</v>
      </c>
    </row>
    <row r="381" spans="1:15" s="5" customFormat="1" ht="16.149999999999999" customHeight="1" x14ac:dyDescent="0.2">
      <c r="A381" s="30"/>
      <c r="B381" s="44" t="s">
        <v>485</v>
      </c>
      <c r="C381" s="41"/>
      <c r="D381" s="41">
        <v>2</v>
      </c>
      <c r="E381" s="109">
        <v>5.0999999999999996</v>
      </c>
      <c r="F381" s="109"/>
      <c r="G381" s="109">
        <f>3+0.1+0.25-0.45</f>
        <v>2.9</v>
      </c>
      <c r="H381" s="89">
        <f t="shared" si="57"/>
        <v>29.58</v>
      </c>
      <c r="I381" s="89"/>
      <c r="K381" s="157"/>
      <c r="L381" s="157"/>
      <c r="M381" s="158"/>
      <c r="O381" s="82">
        <f t="shared" si="46"/>
        <v>0</v>
      </c>
    </row>
    <row r="382" spans="1:15" ht="15.95" customHeight="1" x14ac:dyDescent="0.2">
      <c r="A382" s="30"/>
      <c r="B382" s="46"/>
      <c r="C382" s="41"/>
      <c r="D382" s="41">
        <v>2</v>
      </c>
      <c r="E382" s="90">
        <v>3.1</v>
      </c>
      <c r="F382" s="90"/>
      <c r="G382" s="109">
        <f>3+0.1+0.25-0.45</f>
        <v>2.9</v>
      </c>
      <c r="H382" s="89">
        <f t="shared" si="57"/>
        <v>17.98</v>
      </c>
      <c r="I382" s="90"/>
      <c r="J382" s="90"/>
      <c r="K382" s="157"/>
      <c r="L382" s="157"/>
      <c r="M382" s="158"/>
      <c r="O382" s="82">
        <f t="shared" si="46"/>
        <v>0</v>
      </c>
    </row>
    <row r="383" spans="1:15" s="5" customFormat="1" ht="16.149999999999999" customHeight="1" x14ac:dyDescent="0.2">
      <c r="A383" s="30"/>
      <c r="B383" s="110" t="s">
        <v>480</v>
      </c>
      <c r="C383" s="41"/>
      <c r="D383" s="41"/>
      <c r="E383" s="109"/>
      <c r="F383" s="109"/>
      <c r="G383" s="109"/>
      <c r="H383" s="89">
        <f t="shared" si="57"/>
        <v>0</v>
      </c>
      <c r="I383" s="89"/>
      <c r="K383" s="157"/>
      <c r="L383" s="157"/>
      <c r="M383" s="158"/>
      <c r="O383" s="82">
        <f t="shared" si="46"/>
        <v>0</v>
      </c>
    </row>
    <row r="384" spans="1:15" ht="15.95" customHeight="1" x14ac:dyDescent="0.2">
      <c r="A384" s="30"/>
      <c r="B384" s="41" t="s">
        <v>424</v>
      </c>
      <c r="C384" s="41"/>
      <c r="D384" s="41">
        <v>-1</v>
      </c>
      <c r="E384" s="90">
        <v>0.9</v>
      </c>
      <c r="F384" s="90"/>
      <c r="G384" s="90">
        <v>1.2</v>
      </c>
      <c r="H384" s="89">
        <f t="shared" si="57"/>
        <v>-1.08</v>
      </c>
      <c r="I384" s="89"/>
      <c r="J384" s="90"/>
      <c r="K384" s="157"/>
      <c r="L384" s="157"/>
      <c r="M384" s="158"/>
      <c r="O384" s="82">
        <f t="shared" si="46"/>
        <v>0</v>
      </c>
    </row>
    <row r="385" spans="1:15" ht="15.95" customHeight="1" x14ac:dyDescent="0.2">
      <c r="A385" s="30"/>
      <c r="B385" s="41" t="s">
        <v>481</v>
      </c>
      <c r="C385" s="41"/>
      <c r="D385" s="41">
        <v>-1</v>
      </c>
      <c r="E385" s="90">
        <v>0.9</v>
      </c>
      <c r="F385" s="90"/>
      <c r="G385" s="90">
        <v>2.2000000000000002</v>
      </c>
      <c r="H385" s="89">
        <f t="shared" si="57"/>
        <v>-1.9800000000000002</v>
      </c>
      <c r="I385" s="89"/>
      <c r="J385" s="108"/>
      <c r="K385" s="157"/>
      <c r="L385" s="157"/>
      <c r="M385" s="158"/>
      <c r="O385" s="82">
        <f t="shared" si="46"/>
        <v>0</v>
      </c>
    </row>
    <row r="386" spans="1:15" s="5" customFormat="1" ht="16.149999999999999" customHeight="1" x14ac:dyDescent="0.2">
      <c r="A386" s="30"/>
      <c r="B386" s="44" t="s">
        <v>486</v>
      </c>
      <c r="C386" s="41"/>
      <c r="D386" s="41">
        <v>2</v>
      </c>
      <c r="E386" s="109">
        <v>5.0999999999999996</v>
      </c>
      <c r="F386" s="109"/>
      <c r="G386" s="109">
        <f>3+0.1+0.25-0.45</f>
        <v>2.9</v>
      </c>
      <c r="H386" s="89">
        <f t="shared" ref="H386:H390" si="58">PRODUCT(D386:G386)</f>
        <v>29.58</v>
      </c>
      <c r="I386" s="89"/>
      <c r="K386" s="157"/>
      <c r="L386" s="157"/>
      <c r="M386" s="158"/>
      <c r="O386" s="82">
        <f t="shared" si="46"/>
        <v>0</v>
      </c>
    </row>
    <row r="387" spans="1:15" ht="15.95" customHeight="1" x14ac:dyDescent="0.2">
      <c r="A387" s="30"/>
      <c r="B387" s="46"/>
      <c r="C387" s="41"/>
      <c r="D387" s="41">
        <v>2</v>
      </c>
      <c r="E387" s="90">
        <v>7.1</v>
      </c>
      <c r="F387" s="90"/>
      <c r="G387" s="109">
        <f>3+0.1+0.25-0.45</f>
        <v>2.9</v>
      </c>
      <c r="H387" s="89">
        <f t="shared" si="58"/>
        <v>41.18</v>
      </c>
      <c r="I387" s="90"/>
      <c r="J387" s="90"/>
      <c r="K387" s="157"/>
      <c r="L387" s="157"/>
      <c r="M387" s="158"/>
      <c r="O387" s="82">
        <f t="shared" si="46"/>
        <v>0</v>
      </c>
    </row>
    <row r="388" spans="1:15" s="5" customFormat="1" ht="16.149999999999999" customHeight="1" x14ac:dyDescent="0.2">
      <c r="A388" s="30"/>
      <c r="B388" s="110" t="s">
        <v>480</v>
      </c>
      <c r="C388" s="41"/>
      <c r="D388" s="41"/>
      <c r="E388" s="109"/>
      <c r="F388" s="109"/>
      <c r="G388" s="109"/>
      <c r="H388" s="89">
        <f t="shared" si="58"/>
        <v>0</v>
      </c>
      <c r="I388" s="89"/>
      <c r="K388" s="157"/>
      <c r="L388" s="157"/>
      <c r="M388" s="158"/>
      <c r="O388" s="82">
        <f t="shared" si="46"/>
        <v>0</v>
      </c>
    </row>
    <row r="389" spans="1:15" ht="15.95" customHeight="1" x14ac:dyDescent="0.2">
      <c r="A389" s="30"/>
      <c r="B389" s="41" t="s">
        <v>424</v>
      </c>
      <c r="C389" s="41"/>
      <c r="D389" s="41">
        <v>-2</v>
      </c>
      <c r="E389" s="90">
        <v>0.9</v>
      </c>
      <c r="F389" s="90"/>
      <c r="G389" s="90">
        <v>1.2</v>
      </c>
      <c r="H389" s="89">
        <f t="shared" si="58"/>
        <v>-2.16</v>
      </c>
      <c r="I389" s="89"/>
      <c r="J389" s="90"/>
      <c r="K389" s="157"/>
      <c r="L389" s="157"/>
      <c r="M389" s="158"/>
      <c r="O389" s="82">
        <f t="shared" si="46"/>
        <v>0</v>
      </c>
    </row>
    <row r="390" spans="1:15" ht="15.95" customHeight="1" x14ac:dyDescent="0.2">
      <c r="A390" s="30"/>
      <c r="B390" s="41" t="s">
        <v>481</v>
      </c>
      <c r="C390" s="41"/>
      <c r="D390" s="41">
        <v>-1</v>
      </c>
      <c r="E390" s="90">
        <v>1.8</v>
      </c>
      <c r="F390" s="90"/>
      <c r="G390" s="90">
        <v>2.2000000000000002</v>
      </c>
      <c r="H390" s="89">
        <f t="shared" si="58"/>
        <v>-3.9600000000000004</v>
      </c>
      <c r="I390" s="89"/>
      <c r="J390" s="108"/>
      <c r="K390" s="157"/>
      <c r="L390" s="157"/>
      <c r="M390" s="158"/>
      <c r="O390" s="82">
        <f t="shared" ref="O390:O453" si="59">K390-J390</f>
        <v>0</v>
      </c>
    </row>
    <row r="391" spans="1:15" ht="15.95" customHeight="1" x14ac:dyDescent="0.2">
      <c r="A391" s="30"/>
      <c r="B391" s="46"/>
      <c r="C391" s="41"/>
      <c r="D391" s="41"/>
      <c r="E391" s="90"/>
      <c r="F391" s="90"/>
      <c r="G391" s="90"/>
      <c r="H391" s="89"/>
      <c r="I391" s="90"/>
      <c r="J391" s="90"/>
      <c r="K391" s="157"/>
      <c r="L391" s="157"/>
      <c r="M391" s="158"/>
      <c r="O391" s="82">
        <f t="shared" si="59"/>
        <v>0</v>
      </c>
    </row>
    <row r="392" spans="1:15" s="5" customFormat="1" ht="16.149999999999999" customHeight="1" x14ac:dyDescent="0.2">
      <c r="A392" s="30"/>
      <c r="B392" s="44" t="s">
        <v>487</v>
      </c>
      <c r="C392" s="41"/>
      <c r="D392" s="41">
        <v>2</v>
      </c>
      <c r="E392" s="109">
        <f>2.1+0.1+2.1</f>
        <v>4.3000000000000007</v>
      </c>
      <c r="F392" s="109"/>
      <c r="G392" s="109">
        <f>3+0.1+0.25-0.45</f>
        <v>2.9</v>
      </c>
      <c r="H392" s="89">
        <f t="shared" ref="H392:H396" si="60">PRODUCT(D392:G392)</f>
        <v>24.940000000000005</v>
      </c>
      <c r="I392" s="89"/>
      <c r="K392" s="157"/>
      <c r="L392" s="157"/>
      <c r="M392" s="158"/>
      <c r="O392" s="82">
        <f t="shared" si="59"/>
        <v>0</v>
      </c>
    </row>
    <row r="393" spans="1:15" ht="15.95" customHeight="1" x14ac:dyDescent="0.2">
      <c r="A393" s="30"/>
      <c r="B393" s="46"/>
      <c r="C393" s="41"/>
      <c r="D393" s="41">
        <v>1</v>
      </c>
      <c r="E393" s="90">
        <v>2.1</v>
      </c>
      <c r="F393" s="90"/>
      <c r="G393" s="109">
        <f>3+0.1+0.25-0.45</f>
        <v>2.9</v>
      </c>
      <c r="H393" s="89">
        <f t="shared" si="60"/>
        <v>6.09</v>
      </c>
      <c r="I393" s="90"/>
      <c r="J393" s="90"/>
      <c r="K393" s="157"/>
      <c r="L393" s="157"/>
      <c r="M393" s="158"/>
      <c r="O393" s="82">
        <f t="shared" si="59"/>
        <v>0</v>
      </c>
    </row>
    <row r="394" spans="1:15" s="5" customFormat="1" ht="16.149999999999999" customHeight="1" x14ac:dyDescent="0.2">
      <c r="A394" s="30"/>
      <c r="B394" s="110" t="s">
        <v>480</v>
      </c>
      <c r="C394" s="41"/>
      <c r="D394" s="41"/>
      <c r="E394" s="109"/>
      <c r="F394" s="109"/>
      <c r="G394" s="109"/>
      <c r="H394" s="89">
        <f t="shared" si="60"/>
        <v>0</v>
      </c>
      <c r="I394" s="89"/>
      <c r="K394" s="157"/>
      <c r="L394" s="157"/>
      <c r="M394" s="158"/>
      <c r="O394" s="82">
        <f t="shared" si="59"/>
        <v>0</v>
      </c>
    </row>
    <row r="395" spans="1:15" ht="15.95" customHeight="1" x14ac:dyDescent="0.2">
      <c r="A395" s="30"/>
      <c r="B395" s="41" t="s">
        <v>424</v>
      </c>
      <c r="C395" s="41"/>
      <c r="D395" s="41">
        <v>-2</v>
      </c>
      <c r="E395" s="90">
        <v>0.9</v>
      </c>
      <c r="F395" s="90"/>
      <c r="G395" s="90">
        <v>0.5</v>
      </c>
      <c r="H395" s="89">
        <f t="shared" si="60"/>
        <v>-0.9</v>
      </c>
      <c r="I395" s="89"/>
      <c r="J395" s="90"/>
      <c r="K395" s="157"/>
      <c r="L395" s="157"/>
      <c r="M395" s="158"/>
      <c r="O395" s="82">
        <f t="shared" si="59"/>
        <v>0</v>
      </c>
    </row>
    <row r="396" spans="1:15" ht="15.95" customHeight="1" x14ac:dyDescent="0.2">
      <c r="A396" s="30"/>
      <c r="B396" s="41" t="s">
        <v>481</v>
      </c>
      <c r="C396" s="41"/>
      <c r="D396" s="41">
        <v>-2</v>
      </c>
      <c r="E396" s="90">
        <v>0.8</v>
      </c>
      <c r="F396" s="90"/>
      <c r="G396" s="90">
        <v>2.2000000000000002</v>
      </c>
      <c r="H396" s="89">
        <f t="shared" si="60"/>
        <v>-3.5200000000000005</v>
      </c>
      <c r="I396" s="89"/>
      <c r="J396" s="108"/>
      <c r="K396" s="157"/>
      <c r="L396" s="157"/>
      <c r="M396" s="158"/>
      <c r="O396" s="82">
        <f t="shared" si="59"/>
        <v>0</v>
      </c>
    </row>
    <row r="397" spans="1:15" ht="15.95" customHeight="1" x14ac:dyDescent="0.2">
      <c r="A397" s="30"/>
      <c r="B397" s="46"/>
      <c r="C397" s="41"/>
      <c r="D397" s="41"/>
      <c r="E397" s="90"/>
      <c r="F397" s="90"/>
      <c r="G397" s="90"/>
      <c r="H397" s="89"/>
      <c r="I397" s="90"/>
      <c r="J397" s="90"/>
      <c r="K397" s="157"/>
      <c r="L397" s="157"/>
      <c r="M397" s="158"/>
      <c r="O397" s="82">
        <f t="shared" si="59"/>
        <v>0</v>
      </c>
    </row>
    <row r="398" spans="1:15" s="5" customFormat="1" ht="16.149999999999999" customHeight="1" x14ac:dyDescent="0.2">
      <c r="A398" s="30"/>
      <c r="B398" s="44" t="s">
        <v>490</v>
      </c>
      <c r="C398" s="41"/>
      <c r="D398" s="41">
        <v>1</v>
      </c>
      <c r="E398" s="109">
        <v>1.3</v>
      </c>
      <c r="F398" s="109"/>
      <c r="G398" s="109">
        <f>3+0.1+0.25-0.45</f>
        <v>2.9</v>
      </c>
      <c r="H398" s="89">
        <f t="shared" ref="H398:H400" si="61">PRODUCT(D398:G398)</f>
        <v>3.77</v>
      </c>
      <c r="I398" s="89"/>
      <c r="K398" s="157"/>
      <c r="L398" s="157"/>
      <c r="M398" s="158"/>
      <c r="O398" s="82">
        <f t="shared" si="59"/>
        <v>0</v>
      </c>
    </row>
    <row r="399" spans="1:15" s="5" customFormat="1" ht="16.149999999999999" customHeight="1" x14ac:dyDescent="0.2">
      <c r="A399" s="30"/>
      <c r="B399" s="110" t="s">
        <v>480</v>
      </c>
      <c r="C399" s="41"/>
      <c r="D399" s="41"/>
      <c r="E399" s="109"/>
      <c r="F399" s="109"/>
      <c r="G399" s="109"/>
      <c r="H399" s="89">
        <f t="shared" si="61"/>
        <v>0</v>
      </c>
      <c r="I399" s="89"/>
      <c r="K399" s="157"/>
      <c r="L399" s="157"/>
      <c r="M399" s="158"/>
      <c r="O399" s="82">
        <f t="shared" si="59"/>
        <v>0</v>
      </c>
    </row>
    <row r="400" spans="1:15" ht="15.95" customHeight="1" x14ac:dyDescent="0.2">
      <c r="A400" s="30"/>
      <c r="B400" s="41" t="s">
        <v>481</v>
      </c>
      <c r="C400" s="41"/>
      <c r="D400" s="41">
        <v>-1</v>
      </c>
      <c r="E400" s="90">
        <v>2</v>
      </c>
      <c r="F400" s="90"/>
      <c r="G400" s="90">
        <v>2.2000000000000002</v>
      </c>
      <c r="H400" s="89">
        <f t="shared" si="61"/>
        <v>-4.4000000000000004</v>
      </c>
      <c r="I400" s="89"/>
      <c r="J400" s="108"/>
      <c r="K400" s="157"/>
      <c r="L400" s="157"/>
      <c r="M400" s="158"/>
      <c r="O400" s="82">
        <f t="shared" si="59"/>
        <v>0</v>
      </c>
    </row>
    <row r="401" spans="1:15" s="5" customFormat="1" ht="16.149999999999999" customHeight="1" x14ac:dyDescent="0.2">
      <c r="A401" s="30"/>
      <c r="B401" s="44" t="s">
        <v>488</v>
      </c>
      <c r="C401" s="41"/>
      <c r="D401" s="41">
        <v>2</v>
      </c>
      <c r="E401" s="109">
        <v>4.8</v>
      </c>
      <c r="F401" s="109"/>
      <c r="G401" s="109">
        <f>3+0.1+0.25-0.45</f>
        <v>2.9</v>
      </c>
      <c r="H401" s="89">
        <f t="shared" ref="H401:H405" si="62">PRODUCT(D401:G401)</f>
        <v>27.84</v>
      </c>
      <c r="I401" s="89"/>
      <c r="K401" s="157"/>
      <c r="L401" s="157"/>
      <c r="M401" s="158"/>
      <c r="O401" s="82">
        <f t="shared" si="59"/>
        <v>0</v>
      </c>
    </row>
    <row r="402" spans="1:15" ht="15.95" customHeight="1" x14ac:dyDescent="0.2">
      <c r="A402" s="30"/>
      <c r="B402" s="46"/>
      <c r="C402" s="41"/>
      <c r="D402" s="41">
        <v>2</v>
      </c>
      <c r="E402" s="90">
        <v>2.9</v>
      </c>
      <c r="F402" s="90"/>
      <c r="G402" s="109">
        <f>3+0.1+0.25-0.45</f>
        <v>2.9</v>
      </c>
      <c r="H402" s="89">
        <f t="shared" si="62"/>
        <v>16.82</v>
      </c>
      <c r="I402" s="90"/>
      <c r="J402" s="90"/>
      <c r="K402" s="157"/>
      <c r="L402" s="157"/>
      <c r="M402" s="158"/>
      <c r="O402" s="82">
        <f t="shared" si="59"/>
        <v>0</v>
      </c>
    </row>
    <row r="403" spans="1:15" s="5" customFormat="1" ht="16.149999999999999" customHeight="1" x14ac:dyDescent="0.2">
      <c r="A403" s="30"/>
      <c r="B403" s="110" t="s">
        <v>480</v>
      </c>
      <c r="C403" s="41"/>
      <c r="D403" s="41"/>
      <c r="E403" s="109"/>
      <c r="F403" s="109"/>
      <c r="G403" s="109"/>
      <c r="H403" s="89">
        <f t="shared" si="62"/>
        <v>0</v>
      </c>
      <c r="I403" s="89"/>
      <c r="K403" s="157"/>
      <c r="L403" s="157"/>
      <c r="M403" s="158"/>
      <c r="O403" s="82">
        <f t="shared" si="59"/>
        <v>0</v>
      </c>
    </row>
    <row r="404" spans="1:15" ht="15.95" customHeight="1" x14ac:dyDescent="0.2">
      <c r="A404" s="30"/>
      <c r="B404" s="41" t="s">
        <v>424</v>
      </c>
      <c r="C404" s="41"/>
      <c r="D404" s="41">
        <v>-1</v>
      </c>
      <c r="E404" s="90">
        <v>0.9</v>
      </c>
      <c r="F404" s="90"/>
      <c r="G404" s="90">
        <v>1.2</v>
      </c>
      <c r="H404" s="89">
        <f t="shared" si="62"/>
        <v>-1.08</v>
      </c>
      <c r="I404" s="89"/>
      <c r="J404" s="90"/>
      <c r="K404" s="157"/>
      <c r="L404" s="157"/>
      <c r="M404" s="158"/>
      <c r="O404" s="82">
        <f t="shared" si="59"/>
        <v>0</v>
      </c>
    </row>
    <row r="405" spans="1:15" ht="15.95" customHeight="1" x14ac:dyDescent="0.2">
      <c r="A405" s="30"/>
      <c r="B405" s="41" t="s">
        <v>481</v>
      </c>
      <c r="C405" s="41"/>
      <c r="D405" s="41">
        <v>-2</v>
      </c>
      <c r="E405" s="90">
        <v>0.9</v>
      </c>
      <c r="F405" s="90"/>
      <c r="G405" s="90">
        <v>2.2000000000000002</v>
      </c>
      <c r="H405" s="89">
        <f t="shared" si="62"/>
        <v>-3.9600000000000004</v>
      </c>
      <c r="I405" s="89"/>
      <c r="J405" s="108"/>
      <c r="K405" s="157"/>
      <c r="L405" s="157"/>
      <c r="M405" s="158"/>
      <c r="O405" s="82">
        <f t="shared" si="59"/>
        <v>0</v>
      </c>
    </row>
    <row r="406" spans="1:15" s="5" customFormat="1" ht="16.149999999999999" customHeight="1" x14ac:dyDescent="0.2">
      <c r="A406" s="30"/>
      <c r="B406" s="44" t="s">
        <v>479</v>
      </c>
      <c r="C406" s="41"/>
      <c r="D406" s="41">
        <v>2</v>
      </c>
      <c r="E406" s="109">
        <v>4.7</v>
      </c>
      <c r="F406" s="109"/>
      <c r="G406" s="109">
        <f>3+0.1+0.25-0.45</f>
        <v>2.9</v>
      </c>
      <c r="H406" s="89">
        <f t="shared" ref="H406:H410" si="63">PRODUCT(D406:G406)</f>
        <v>27.26</v>
      </c>
      <c r="I406" s="89"/>
      <c r="K406" s="157"/>
      <c r="L406" s="157"/>
      <c r="M406" s="158"/>
      <c r="O406" s="82">
        <f t="shared" si="59"/>
        <v>0</v>
      </c>
    </row>
    <row r="407" spans="1:15" ht="15.95" customHeight="1" x14ac:dyDescent="0.2">
      <c r="A407" s="30"/>
      <c r="B407" s="46"/>
      <c r="C407" s="41"/>
      <c r="D407" s="41">
        <v>2</v>
      </c>
      <c r="E407" s="90">
        <v>2.9</v>
      </c>
      <c r="F407" s="90"/>
      <c r="G407" s="109">
        <f>3+0.1+0.25-0.45</f>
        <v>2.9</v>
      </c>
      <c r="H407" s="89">
        <f t="shared" si="63"/>
        <v>16.82</v>
      </c>
      <c r="I407" s="90"/>
      <c r="J407" s="90"/>
      <c r="K407" s="157"/>
      <c r="L407" s="157"/>
      <c r="M407" s="158"/>
      <c r="O407" s="82">
        <f t="shared" si="59"/>
        <v>0</v>
      </c>
    </row>
    <row r="408" spans="1:15" s="5" customFormat="1" ht="16.149999999999999" customHeight="1" x14ac:dyDescent="0.2">
      <c r="A408" s="30"/>
      <c r="B408" s="110" t="s">
        <v>480</v>
      </c>
      <c r="C408" s="41"/>
      <c r="D408" s="41"/>
      <c r="E408" s="109"/>
      <c r="F408" s="109"/>
      <c r="G408" s="109"/>
      <c r="H408" s="89">
        <f t="shared" si="63"/>
        <v>0</v>
      </c>
      <c r="I408" s="89"/>
      <c r="K408" s="157"/>
      <c r="L408" s="157"/>
      <c r="M408" s="158"/>
      <c r="O408" s="82">
        <f t="shared" si="59"/>
        <v>0</v>
      </c>
    </row>
    <row r="409" spans="1:15" ht="15.95" customHeight="1" x14ac:dyDescent="0.2">
      <c r="A409" s="30"/>
      <c r="B409" s="41" t="s">
        <v>424</v>
      </c>
      <c r="C409" s="41"/>
      <c r="D409" s="41">
        <v>-1</v>
      </c>
      <c r="E409" s="90">
        <v>0.9</v>
      </c>
      <c r="F409" s="90"/>
      <c r="G409" s="90">
        <v>1.2</v>
      </c>
      <c r="H409" s="89">
        <f t="shared" si="63"/>
        <v>-1.08</v>
      </c>
      <c r="I409" s="89"/>
      <c r="J409" s="90"/>
      <c r="K409" s="157"/>
      <c r="L409" s="157"/>
      <c r="M409" s="158"/>
      <c r="O409" s="82">
        <f t="shared" si="59"/>
        <v>0</v>
      </c>
    </row>
    <row r="410" spans="1:15" ht="15.95" customHeight="1" x14ac:dyDescent="0.2">
      <c r="A410" s="30"/>
      <c r="B410" s="41" t="s">
        <v>481</v>
      </c>
      <c r="C410" s="41"/>
      <c r="D410" s="41">
        <v>-1</v>
      </c>
      <c r="E410" s="90">
        <v>0.9</v>
      </c>
      <c r="F410" s="90"/>
      <c r="G410" s="90">
        <v>2.2000000000000002</v>
      </c>
      <c r="H410" s="89">
        <f t="shared" si="63"/>
        <v>-1.9800000000000002</v>
      </c>
      <c r="I410" s="89"/>
      <c r="J410" s="108"/>
      <c r="K410" s="157"/>
      <c r="L410" s="157"/>
      <c r="M410" s="158"/>
      <c r="O410" s="82">
        <f t="shared" si="59"/>
        <v>0</v>
      </c>
    </row>
    <row r="411" spans="1:15" s="5" customFormat="1" ht="16.149999999999999" customHeight="1" x14ac:dyDescent="0.2">
      <c r="A411" s="30"/>
      <c r="B411" s="44" t="s">
        <v>489</v>
      </c>
      <c r="C411" s="41"/>
      <c r="D411" s="41">
        <v>1</v>
      </c>
      <c r="E411" s="109">
        <v>2</v>
      </c>
      <c r="F411" s="109"/>
      <c r="G411" s="109">
        <v>3.1</v>
      </c>
      <c r="H411" s="89">
        <f t="shared" ref="H411:H413" si="64">PRODUCT(D411:G411)</f>
        <v>6.2</v>
      </c>
      <c r="I411" s="89"/>
      <c r="K411" s="157"/>
      <c r="L411" s="157"/>
      <c r="M411" s="158"/>
      <c r="O411" s="82">
        <f t="shared" si="59"/>
        <v>0</v>
      </c>
    </row>
    <row r="412" spans="1:15" s="5" customFormat="1" ht="16.149999999999999" customHeight="1" x14ac:dyDescent="0.2">
      <c r="A412" s="30"/>
      <c r="B412" s="110" t="s">
        <v>480</v>
      </c>
      <c r="C412" s="41"/>
      <c r="D412" s="41"/>
      <c r="E412" s="109"/>
      <c r="F412" s="109"/>
      <c r="G412" s="109"/>
      <c r="H412" s="89">
        <f t="shared" si="64"/>
        <v>0</v>
      </c>
      <c r="I412" s="89"/>
      <c r="K412" s="157"/>
      <c r="L412" s="157"/>
      <c r="M412" s="158"/>
      <c r="O412" s="82">
        <f t="shared" si="59"/>
        <v>0</v>
      </c>
    </row>
    <row r="413" spans="1:15" ht="15.95" customHeight="1" x14ac:dyDescent="0.2">
      <c r="A413" s="30"/>
      <c r="B413" s="41" t="s">
        <v>481</v>
      </c>
      <c r="C413" s="41"/>
      <c r="D413" s="41">
        <v>-1</v>
      </c>
      <c r="E413" s="90">
        <v>2</v>
      </c>
      <c r="F413" s="90"/>
      <c r="G413" s="90">
        <v>2.2000000000000002</v>
      </c>
      <c r="H413" s="89">
        <f t="shared" si="64"/>
        <v>-4.4000000000000004</v>
      </c>
      <c r="I413" s="89"/>
      <c r="J413" s="108"/>
      <c r="K413" s="157"/>
      <c r="L413" s="157"/>
      <c r="M413" s="158"/>
      <c r="O413" s="82">
        <f t="shared" si="59"/>
        <v>0</v>
      </c>
    </row>
    <row r="414" spans="1:15" ht="15.95" customHeight="1" x14ac:dyDescent="0.2">
      <c r="A414" s="30"/>
      <c r="B414" s="46"/>
      <c r="C414" s="41"/>
      <c r="D414" s="41"/>
      <c r="E414" s="90"/>
      <c r="F414" s="90"/>
      <c r="G414" s="90"/>
      <c r="H414" s="89"/>
      <c r="I414" s="90">
        <f>SUM(H380:H413)</f>
        <v>217.55999999999997</v>
      </c>
      <c r="J414" s="90"/>
      <c r="K414" s="157"/>
      <c r="L414" s="157"/>
      <c r="M414" s="158"/>
      <c r="O414" s="82">
        <f t="shared" si="59"/>
        <v>0</v>
      </c>
    </row>
    <row r="415" spans="1:15" s="5" customFormat="1" ht="16.149999999999999" customHeight="1" x14ac:dyDescent="0.2">
      <c r="A415" s="30"/>
      <c r="B415" s="98" t="s">
        <v>466</v>
      </c>
      <c r="C415" s="32"/>
      <c r="D415" s="32"/>
      <c r="E415" s="89"/>
      <c r="F415" s="89"/>
      <c r="G415" s="89"/>
      <c r="H415" s="89">
        <f t="shared" ref="H415:H416" si="65">PRODUCT(D415:G415)</f>
        <v>0</v>
      </c>
      <c r="I415" s="89"/>
      <c r="J415" s="89"/>
      <c r="K415" s="157"/>
      <c r="L415" s="157"/>
      <c r="M415" s="158"/>
      <c r="O415" s="82">
        <f t="shared" si="59"/>
        <v>0</v>
      </c>
    </row>
    <row r="416" spans="1:15" ht="15.95" customHeight="1" x14ac:dyDescent="0.2">
      <c r="A416" s="30"/>
      <c r="B416" s="46"/>
      <c r="C416" s="41"/>
      <c r="D416" s="41">
        <v>2</v>
      </c>
      <c r="E416" s="90">
        <f>6+1.4*2-0.25*2</f>
        <v>8.3000000000000007</v>
      </c>
      <c r="F416" s="90"/>
      <c r="G416" s="109">
        <f t="shared" ref="G416:G418" si="66">3+0.1+0.25-0.45</f>
        <v>2.9</v>
      </c>
      <c r="H416" s="89">
        <f t="shared" si="65"/>
        <v>48.14</v>
      </c>
      <c r="I416" s="90"/>
      <c r="J416" s="90"/>
      <c r="K416" s="157"/>
      <c r="L416" s="157"/>
      <c r="M416" s="158"/>
      <c r="O416" s="82">
        <f t="shared" si="59"/>
        <v>0</v>
      </c>
    </row>
    <row r="417" spans="1:15" ht="15.95" customHeight="1" x14ac:dyDescent="0.2">
      <c r="A417" s="30"/>
      <c r="B417" s="46"/>
      <c r="C417" s="41"/>
      <c r="D417" s="41">
        <v>2</v>
      </c>
      <c r="E417" s="90">
        <f>9.8-0.25*2</f>
        <v>9.3000000000000007</v>
      </c>
      <c r="F417" s="90"/>
      <c r="G417" s="109">
        <f t="shared" si="66"/>
        <v>2.9</v>
      </c>
      <c r="H417" s="89">
        <f t="shared" ref="H417:H421" si="67">PRODUCT(D417:G417)</f>
        <v>53.940000000000005</v>
      </c>
      <c r="I417" s="90"/>
      <c r="J417" s="90"/>
      <c r="K417" s="157"/>
      <c r="L417" s="157"/>
      <c r="M417" s="158"/>
      <c r="O417" s="82">
        <f t="shared" si="59"/>
        <v>0</v>
      </c>
    </row>
    <row r="418" spans="1:15" ht="15.95" customHeight="1" x14ac:dyDescent="0.2">
      <c r="A418" s="30"/>
      <c r="B418" s="46"/>
      <c r="C418" s="41"/>
      <c r="D418" s="41">
        <v>2</v>
      </c>
      <c r="E418" s="90">
        <v>2</v>
      </c>
      <c r="F418" s="90"/>
      <c r="G418" s="109">
        <f t="shared" si="66"/>
        <v>2.9</v>
      </c>
      <c r="H418" s="89">
        <f t="shared" si="67"/>
        <v>11.6</v>
      </c>
      <c r="I418" s="90"/>
      <c r="J418" s="90"/>
      <c r="K418" s="157"/>
      <c r="L418" s="157"/>
      <c r="M418" s="158"/>
      <c r="O418" s="82">
        <f t="shared" si="59"/>
        <v>0</v>
      </c>
    </row>
    <row r="419" spans="1:15" s="5" customFormat="1" ht="16.149999999999999" customHeight="1" x14ac:dyDescent="0.2">
      <c r="A419" s="30"/>
      <c r="B419" s="110" t="s">
        <v>480</v>
      </c>
      <c r="C419" s="41"/>
      <c r="D419" s="41"/>
      <c r="E419" s="109"/>
      <c r="F419" s="109"/>
      <c r="G419" s="109"/>
      <c r="H419" s="89">
        <f t="shared" si="67"/>
        <v>0</v>
      </c>
      <c r="I419" s="89"/>
      <c r="K419" s="157"/>
      <c r="L419" s="157"/>
      <c r="M419" s="158"/>
      <c r="O419" s="82">
        <f t="shared" si="59"/>
        <v>0</v>
      </c>
    </row>
    <row r="420" spans="1:15" ht="15.95" customHeight="1" x14ac:dyDescent="0.2">
      <c r="A420" s="30"/>
      <c r="B420" s="41" t="s">
        <v>424</v>
      </c>
      <c r="C420" s="41"/>
      <c r="D420" s="41">
        <v>-8</v>
      </c>
      <c r="E420" s="90">
        <v>0.9</v>
      </c>
      <c r="F420" s="90"/>
      <c r="G420" s="90">
        <v>0.6</v>
      </c>
      <c r="H420" s="89">
        <f t="shared" si="67"/>
        <v>-4.32</v>
      </c>
      <c r="I420" s="89"/>
      <c r="J420" s="90"/>
      <c r="K420" s="157"/>
      <c r="L420" s="157"/>
      <c r="M420" s="158"/>
      <c r="O420" s="82">
        <f t="shared" si="59"/>
        <v>0</v>
      </c>
    </row>
    <row r="421" spans="1:15" ht="15.95" customHeight="1" x14ac:dyDescent="0.2">
      <c r="A421" s="30"/>
      <c r="B421" s="41" t="s">
        <v>481</v>
      </c>
      <c r="C421" s="41"/>
      <c r="D421" s="41">
        <v>-4</v>
      </c>
      <c r="E421" s="90">
        <v>1.2</v>
      </c>
      <c r="F421" s="90"/>
      <c r="G421" s="90">
        <v>2.2000000000000002</v>
      </c>
      <c r="H421" s="89">
        <f t="shared" si="67"/>
        <v>-10.56</v>
      </c>
      <c r="I421" s="89"/>
      <c r="J421" s="108"/>
      <c r="K421" s="157"/>
      <c r="L421" s="157"/>
      <c r="M421" s="158"/>
      <c r="O421" s="82">
        <f t="shared" si="59"/>
        <v>0</v>
      </c>
    </row>
    <row r="422" spans="1:15" ht="15.95" customHeight="1" x14ac:dyDescent="0.2">
      <c r="A422" s="30"/>
      <c r="B422" s="46"/>
      <c r="C422" s="41"/>
      <c r="D422" s="41"/>
      <c r="E422" s="90"/>
      <c r="F422" s="90"/>
      <c r="G422" s="90"/>
      <c r="H422" s="89"/>
      <c r="I422" s="90">
        <f>SUM(H416:H422)</f>
        <v>98.800000000000011</v>
      </c>
      <c r="J422" s="90"/>
      <c r="K422" s="157"/>
      <c r="L422" s="157"/>
      <c r="M422" s="158"/>
      <c r="O422" s="82">
        <f t="shared" si="59"/>
        <v>0</v>
      </c>
    </row>
    <row r="423" spans="1:15" s="5" customFormat="1" ht="16.149999999999999" customHeight="1" x14ac:dyDescent="0.2">
      <c r="A423" s="30"/>
      <c r="B423" s="98" t="s">
        <v>467</v>
      </c>
      <c r="C423" s="32"/>
      <c r="D423" s="32"/>
      <c r="E423" s="89"/>
      <c r="F423" s="89"/>
      <c r="G423" s="89"/>
      <c r="H423" s="89">
        <f t="shared" ref="H423:H428" si="68">PRODUCT(D423:G423)</f>
        <v>0</v>
      </c>
      <c r="I423" s="89"/>
      <c r="J423" s="89"/>
      <c r="K423" s="157"/>
      <c r="L423" s="157"/>
      <c r="M423" s="158"/>
      <c r="O423" s="82">
        <f t="shared" si="59"/>
        <v>0</v>
      </c>
    </row>
    <row r="424" spans="1:15" ht="15.95" customHeight="1" x14ac:dyDescent="0.2">
      <c r="A424" s="30"/>
      <c r="B424" s="46"/>
      <c r="C424" s="41"/>
      <c r="D424" s="41">
        <v>2</v>
      </c>
      <c r="E424" s="90">
        <f>2.4-0.25*2</f>
        <v>1.9</v>
      </c>
      <c r="F424" s="90"/>
      <c r="G424" s="109">
        <f t="shared" ref="G424:G425" si="69">3+0.1+0.25-0.45</f>
        <v>2.9</v>
      </c>
      <c r="H424" s="89">
        <f t="shared" si="68"/>
        <v>11.02</v>
      </c>
      <c r="I424" s="90"/>
      <c r="J424" s="90"/>
      <c r="K424" s="157"/>
      <c r="L424" s="157"/>
      <c r="M424" s="158"/>
      <c r="O424" s="82">
        <f t="shared" si="59"/>
        <v>0</v>
      </c>
    </row>
    <row r="425" spans="1:15" ht="15.95" customHeight="1" x14ac:dyDescent="0.2">
      <c r="A425" s="30"/>
      <c r="B425" s="46"/>
      <c r="C425" s="41"/>
      <c r="D425" s="41">
        <v>2</v>
      </c>
      <c r="E425" s="90">
        <f>3.4-0.2*2</f>
        <v>3</v>
      </c>
      <c r="F425" s="90"/>
      <c r="G425" s="109">
        <f t="shared" si="69"/>
        <v>2.9</v>
      </c>
      <c r="H425" s="89">
        <f t="shared" ref="H425" si="70">PRODUCT(D425:G425)</f>
        <v>17.399999999999999</v>
      </c>
      <c r="I425" s="90"/>
      <c r="J425" s="108"/>
      <c r="K425" s="157"/>
      <c r="L425" s="157"/>
      <c r="M425" s="158"/>
      <c r="O425" s="82">
        <f t="shared" si="59"/>
        <v>0</v>
      </c>
    </row>
    <row r="426" spans="1:15" s="5" customFormat="1" ht="16.149999999999999" customHeight="1" x14ac:dyDescent="0.2">
      <c r="A426" s="30"/>
      <c r="B426" s="110" t="s">
        <v>480</v>
      </c>
      <c r="C426" s="41"/>
      <c r="D426" s="41"/>
      <c r="E426" s="109"/>
      <c r="F426" s="109"/>
      <c r="G426" s="109"/>
      <c r="H426" s="89">
        <f t="shared" si="68"/>
        <v>0</v>
      </c>
      <c r="I426" s="90"/>
      <c r="K426" s="157"/>
      <c r="L426" s="157"/>
      <c r="M426" s="158"/>
      <c r="O426" s="82">
        <f t="shared" si="59"/>
        <v>0</v>
      </c>
    </row>
    <row r="427" spans="1:15" ht="15.95" customHeight="1" x14ac:dyDescent="0.2">
      <c r="A427" s="30"/>
      <c r="B427" s="41" t="s">
        <v>424</v>
      </c>
      <c r="C427" s="41"/>
      <c r="D427" s="41">
        <v>-2</v>
      </c>
      <c r="E427" s="90">
        <v>0.9</v>
      </c>
      <c r="F427" s="90"/>
      <c r="G427" s="90">
        <v>1.2</v>
      </c>
      <c r="H427" s="89">
        <f t="shared" si="68"/>
        <v>-2.16</v>
      </c>
      <c r="I427" s="89"/>
      <c r="J427" s="90"/>
      <c r="K427" s="157"/>
      <c r="L427" s="157"/>
      <c r="M427" s="158"/>
      <c r="O427" s="82">
        <f t="shared" si="59"/>
        <v>0</v>
      </c>
    </row>
    <row r="428" spans="1:15" ht="15.95" customHeight="1" x14ac:dyDescent="0.2">
      <c r="A428" s="30"/>
      <c r="B428" s="41" t="s">
        <v>481</v>
      </c>
      <c r="C428" s="41"/>
      <c r="D428" s="41">
        <v>-1</v>
      </c>
      <c r="E428" s="90">
        <v>0.9</v>
      </c>
      <c r="F428" s="90"/>
      <c r="G428" s="90">
        <v>2.2000000000000002</v>
      </c>
      <c r="H428" s="89">
        <f t="shared" si="68"/>
        <v>-1.9800000000000002</v>
      </c>
      <c r="I428" s="89"/>
      <c r="J428" s="108"/>
      <c r="K428" s="157"/>
      <c r="L428" s="157"/>
      <c r="M428" s="158"/>
      <c r="O428" s="82">
        <f t="shared" si="59"/>
        <v>0</v>
      </c>
    </row>
    <row r="429" spans="1:15" ht="15.95" customHeight="1" x14ac:dyDescent="0.2">
      <c r="A429" s="40"/>
      <c r="B429" s="46"/>
      <c r="C429" s="41"/>
      <c r="D429" s="41"/>
      <c r="E429" s="90"/>
      <c r="F429" s="90"/>
      <c r="G429" s="90"/>
      <c r="H429" s="90"/>
      <c r="I429" s="90">
        <f>SUM(H424:H428)</f>
        <v>24.279999999999998</v>
      </c>
      <c r="J429" s="90"/>
      <c r="K429" s="163"/>
      <c r="L429" s="163"/>
      <c r="M429" s="158"/>
      <c r="O429" s="82">
        <f t="shared" si="59"/>
        <v>0</v>
      </c>
    </row>
    <row r="430" spans="1:15" ht="15.95" customHeight="1" x14ac:dyDescent="0.2">
      <c r="A430" s="40"/>
      <c r="B430" s="46"/>
      <c r="C430" s="41"/>
      <c r="D430" s="41"/>
      <c r="E430" s="90"/>
      <c r="F430" s="90"/>
      <c r="G430" s="90"/>
      <c r="H430" s="90"/>
      <c r="I430" s="90"/>
      <c r="J430" s="90"/>
      <c r="K430" s="163"/>
      <c r="L430" s="163"/>
      <c r="M430" s="158"/>
      <c r="O430" s="82">
        <f t="shared" si="59"/>
        <v>0</v>
      </c>
    </row>
    <row r="431" spans="1:15" ht="15.75" customHeight="1" x14ac:dyDescent="0.2">
      <c r="A431" s="40" t="s">
        <v>172</v>
      </c>
      <c r="B431" s="46" t="s">
        <v>82</v>
      </c>
      <c r="C431" s="41" t="s">
        <v>4</v>
      </c>
      <c r="D431" s="41"/>
      <c r="E431" s="90"/>
      <c r="F431" s="90"/>
      <c r="G431" s="90"/>
      <c r="H431" s="90"/>
      <c r="I431" s="90"/>
      <c r="J431" s="90">
        <f>SUM(I433:I443)</f>
        <v>95.13</v>
      </c>
      <c r="K431" s="163">
        <v>110</v>
      </c>
      <c r="L431" s="163">
        <v>90</v>
      </c>
      <c r="M431" s="158">
        <f t="shared" si="52"/>
        <v>9900</v>
      </c>
      <c r="O431" s="82">
        <f t="shared" si="59"/>
        <v>14.870000000000005</v>
      </c>
    </row>
    <row r="432" spans="1:15" s="5" customFormat="1" ht="16.149999999999999" customHeight="1" x14ac:dyDescent="0.2">
      <c r="A432" s="30"/>
      <c r="B432" s="98" t="s">
        <v>465</v>
      </c>
      <c r="C432" s="32"/>
      <c r="D432" s="32"/>
      <c r="E432" s="89"/>
      <c r="F432" s="89"/>
      <c r="G432" s="89"/>
      <c r="H432" s="89">
        <f t="shared" ref="H432:H434" si="71">PRODUCT(D432:G432)</f>
        <v>0</v>
      </c>
      <c r="I432" s="89"/>
      <c r="J432" s="89"/>
      <c r="K432" s="157"/>
      <c r="L432" s="157"/>
      <c r="M432" s="158"/>
      <c r="O432" s="82">
        <f t="shared" si="59"/>
        <v>0</v>
      </c>
    </row>
    <row r="433" spans="1:15" s="5" customFormat="1" ht="16.149999999999999" customHeight="1" x14ac:dyDescent="0.2">
      <c r="A433" s="30"/>
      <c r="B433" s="44" t="s">
        <v>485</v>
      </c>
      <c r="C433" s="41"/>
      <c r="D433" s="41">
        <v>1</v>
      </c>
      <c r="E433" s="109">
        <v>0.6</v>
      </c>
      <c r="F433" s="109"/>
      <c r="G433" s="109">
        <v>3.1</v>
      </c>
      <c r="H433" s="89">
        <f t="shared" si="71"/>
        <v>1.8599999999999999</v>
      </c>
      <c r="I433" s="89"/>
      <c r="K433" s="157"/>
      <c r="L433" s="157"/>
      <c r="M433" s="158"/>
      <c r="O433" s="82">
        <f t="shared" si="59"/>
        <v>0</v>
      </c>
    </row>
    <row r="434" spans="1:15" s="5" customFormat="1" ht="16.149999999999999" customHeight="1" x14ac:dyDescent="0.2">
      <c r="A434" s="30"/>
      <c r="B434" s="44" t="s">
        <v>479</v>
      </c>
      <c r="C434" s="41"/>
      <c r="D434" s="41">
        <v>1</v>
      </c>
      <c r="E434" s="109">
        <v>0.6</v>
      </c>
      <c r="F434" s="109"/>
      <c r="G434" s="109">
        <v>3.1</v>
      </c>
      <c r="H434" s="89">
        <f t="shared" si="71"/>
        <v>1.8599999999999999</v>
      </c>
      <c r="I434" s="89"/>
      <c r="K434" s="157"/>
      <c r="L434" s="157"/>
      <c r="M434" s="158"/>
      <c r="O434" s="82">
        <f t="shared" si="59"/>
        <v>0</v>
      </c>
    </row>
    <row r="435" spans="1:15" s="5" customFormat="1" ht="16.149999999999999" customHeight="1" x14ac:dyDescent="0.2">
      <c r="A435" s="30"/>
      <c r="B435" s="44" t="s">
        <v>491</v>
      </c>
      <c r="C435" s="41"/>
      <c r="D435" s="41">
        <v>1</v>
      </c>
      <c r="E435" s="109">
        <v>1.9</v>
      </c>
      <c r="F435" s="109"/>
      <c r="G435" s="109">
        <v>3.1</v>
      </c>
      <c r="H435" s="89">
        <f t="shared" ref="H435" si="72">PRODUCT(D435:G435)</f>
        <v>5.89</v>
      </c>
      <c r="I435" s="89"/>
      <c r="K435" s="157"/>
      <c r="L435" s="157"/>
      <c r="M435" s="158"/>
      <c r="O435" s="82">
        <f t="shared" si="59"/>
        <v>0</v>
      </c>
    </row>
    <row r="436" spans="1:15" ht="15.75" customHeight="1" x14ac:dyDescent="0.2">
      <c r="A436" s="40"/>
      <c r="B436" s="46"/>
      <c r="C436" s="41"/>
      <c r="D436" s="41"/>
      <c r="E436" s="90"/>
      <c r="F436" s="90"/>
      <c r="G436" s="90"/>
      <c r="H436" s="90"/>
      <c r="I436" s="90">
        <f>SUM(H433:H435)</f>
        <v>9.61</v>
      </c>
      <c r="J436" s="90"/>
      <c r="K436" s="163"/>
      <c r="L436" s="163"/>
      <c r="M436" s="158"/>
      <c r="O436" s="82">
        <f t="shared" si="59"/>
        <v>0</v>
      </c>
    </row>
    <row r="437" spans="1:15" s="5" customFormat="1" ht="16.149999999999999" customHeight="1" x14ac:dyDescent="0.2">
      <c r="A437" s="30"/>
      <c r="B437" s="98" t="s">
        <v>466</v>
      </c>
      <c r="C437" s="32"/>
      <c r="D437" s="32"/>
      <c r="E437" s="89"/>
      <c r="F437" s="89"/>
      <c r="G437" s="89"/>
      <c r="H437" s="89">
        <f t="shared" ref="H437:H438" si="73">PRODUCT(D437:G437)</f>
        <v>0</v>
      </c>
      <c r="I437" s="89"/>
      <c r="J437" s="89"/>
      <c r="K437" s="157"/>
      <c r="L437" s="157"/>
      <c r="M437" s="158"/>
      <c r="O437" s="82">
        <f t="shared" si="59"/>
        <v>0</v>
      </c>
    </row>
    <row r="438" spans="1:15" ht="15.95" customHeight="1" x14ac:dyDescent="0.2">
      <c r="A438" s="30"/>
      <c r="B438" s="46"/>
      <c r="C438" s="41"/>
      <c r="D438" s="41">
        <v>8</v>
      </c>
      <c r="E438" s="90">
        <v>2</v>
      </c>
      <c r="F438" s="90"/>
      <c r="G438" s="109">
        <v>3.1</v>
      </c>
      <c r="H438" s="89">
        <f t="shared" si="73"/>
        <v>49.6</v>
      </c>
      <c r="I438" s="90"/>
      <c r="J438" s="90"/>
      <c r="K438" s="157"/>
      <c r="L438" s="157"/>
      <c r="M438" s="158"/>
      <c r="O438" s="82">
        <f t="shared" si="59"/>
        <v>0</v>
      </c>
    </row>
    <row r="439" spans="1:15" ht="15.75" customHeight="1" x14ac:dyDescent="0.2">
      <c r="A439" s="40"/>
      <c r="B439" s="46"/>
      <c r="C439" s="41"/>
      <c r="D439" s="41">
        <v>4</v>
      </c>
      <c r="E439" s="90">
        <v>4.5999999999999996</v>
      </c>
      <c r="F439" s="90"/>
      <c r="G439" s="109">
        <v>3.1</v>
      </c>
      <c r="H439" s="89">
        <f t="shared" ref="H439:H441" si="74">PRODUCT(D439:G439)</f>
        <v>57.04</v>
      </c>
      <c r="I439" s="90"/>
      <c r="J439" s="90"/>
      <c r="K439" s="163"/>
      <c r="L439" s="163"/>
      <c r="M439" s="158"/>
      <c r="O439" s="82">
        <f t="shared" si="59"/>
        <v>0</v>
      </c>
    </row>
    <row r="440" spans="1:15" s="5" customFormat="1" ht="16.149999999999999" customHeight="1" x14ac:dyDescent="0.2">
      <c r="A440" s="30"/>
      <c r="B440" s="110" t="s">
        <v>480</v>
      </c>
      <c r="C440" s="41"/>
      <c r="D440" s="41"/>
      <c r="E440" s="109"/>
      <c r="F440" s="109"/>
      <c r="G440" s="109"/>
      <c r="H440" s="89">
        <f t="shared" si="74"/>
        <v>0</v>
      </c>
      <c r="I440" s="89"/>
      <c r="K440" s="157"/>
      <c r="L440" s="157"/>
      <c r="M440" s="158"/>
      <c r="O440" s="82">
        <f t="shared" si="59"/>
        <v>0</v>
      </c>
    </row>
    <row r="441" spans="1:15" ht="15.95" customHeight="1" x14ac:dyDescent="0.2">
      <c r="A441" s="30"/>
      <c r="B441" s="41" t="s">
        <v>481</v>
      </c>
      <c r="C441" s="41"/>
      <c r="D441" s="41">
        <v>-12</v>
      </c>
      <c r="E441" s="90">
        <v>0.8</v>
      </c>
      <c r="F441" s="90"/>
      <c r="G441" s="90">
        <v>2.2000000000000002</v>
      </c>
      <c r="H441" s="89">
        <f t="shared" si="74"/>
        <v>-21.120000000000005</v>
      </c>
      <c r="I441" s="89"/>
      <c r="J441" s="108"/>
      <c r="K441" s="157"/>
      <c r="L441" s="157"/>
      <c r="M441" s="158"/>
      <c r="O441" s="82">
        <f t="shared" si="59"/>
        <v>0</v>
      </c>
    </row>
    <row r="442" spans="1:15" ht="15.95" customHeight="1" x14ac:dyDescent="0.2">
      <c r="A442" s="40"/>
      <c r="B442" s="46"/>
      <c r="C442" s="41"/>
      <c r="D442" s="41"/>
      <c r="E442" s="90"/>
      <c r="F442" s="90"/>
      <c r="G442" s="90"/>
      <c r="H442" s="90"/>
      <c r="I442" s="90">
        <f>SUM(H438:H441)</f>
        <v>85.52</v>
      </c>
      <c r="J442" s="90"/>
      <c r="K442" s="163"/>
      <c r="L442" s="163"/>
      <c r="M442" s="158"/>
      <c r="O442" s="82">
        <f t="shared" si="59"/>
        <v>0</v>
      </c>
    </row>
    <row r="443" spans="1:15" ht="15.75" customHeight="1" x14ac:dyDescent="0.2">
      <c r="A443" s="40"/>
      <c r="B443" s="46"/>
      <c r="C443" s="41"/>
      <c r="D443" s="41"/>
      <c r="E443" s="90"/>
      <c r="F443" s="90"/>
      <c r="G443" s="90"/>
      <c r="H443" s="90"/>
      <c r="I443" s="90"/>
      <c r="J443" s="90"/>
      <c r="K443" s="163"/>
      <c r="L443" s="163"/>
      <c r="M443" s="158"/>
      <c r="O443" s="82">
        <f t="shared" si="59"/>
        <v>0</v>
      </c>
    </row>
    <row r="444" spans="1:15" ht="15.95" customHeight="1" x14ac:dyDescent="0.2">
      <c r="A444" s="40" t="s">
        <v>173</v>
      </c>
      <c r="B444" s="46" t="s">
        <v>511</v>
      </c>
      <c r="C444" s="41" t="s">
        <v>1</v>
      </c>
      <c r="D444" s="41"/>
      <c r="E444" s="90"/>
      <c r="F444" s="90"/>
      <c r="G444" s="90"/>
      <c r="H444" s="90"/>
      <c r="I444" s="90">
        <f>SUM(H445:H446)</f>
        <v>203.2</v>
      </c>
      <c r="J444" s="90">
        <f>I444</f>
        <v>203.2</v>
      </c>
      <c r="K444" s="163">
        <v>203</v>
      </c>
      <c r="L444" s="163">
        <v>750</v>
      </c>
      <c r="M444" s="158">
        <f t="shared" si="52"/>
        <v>152250</v>
      </c>
      <c r="O444" s="82">
        <f t="shared" si="59"/>
        <v>-0.19999999999998863</v>
      </c>
    </row>
    <row r="445" spans="1:15" ht="15.95" customHeight="1" x14ac:dyDescent="0.2">
      <c r="A445" s="40"/>
      <c r="B445" s="46" t="s">
        <v>509</v>
      </c>
      <c r="C445" s="41"/>
      <c r="D445" s="41">
        <v>1</v>
      </c>
      <c r="E445" s="90">
        <f>18.2+14.8+21.2</f>
        <v>54.2</v>
      </c>
      <c r="F445" s="90"/>
      <c r="G445" s="90"/>
      <c r="H445" s="89">
        <f t="shared" ref="H445:H446" si="75">PRODUCT(D445:G445)</f>
        <v>54.2</v>
      </c>
      <c r="I445" s="90"/>
      <c r="J445" s="90"/>
      <c r="K445" s="163"/>
      <c r="L445" s="163"/>
      <c r="M445" s="158"/>
      <c r="O445" s="82">
        <f t="shared" si="59"/>
        <v>0</v>
      </c>
    </row>
    <row r="446" spans="1:15" ht="15.95" customHeight="1" x14ac:dyDescent="0.2">
      <c r="A446" s="40"/>
      <c r="B446" s="46" t="s">
        <v>510</v>
      </c>
      <c r="C446" s="41"/>
      <c r="D446" s="41">
        <v>1</v>
      </c>
      <c r="E446" s="90">
        <f>115+40-6</f>
        <v>149</v>
      </c>
      <c r="F446" s="90"/>
      <c r="G446" s="90"/>
      <c r="H446" s="89">
        <f t="shared" si="75"/>
        <v>149</v>
      </c>
      <c r="I446" s="90"/>
      <c r="J446" s="90"/>
      <c r="K446" s="163"/>
      <c r="L446" s="163"/>
      <c r="M446" s="158"/>
      <c r="O446" s="82">
        <f t="shared" si="59"/>
        <v>0</v>
      </c>
    </row>
    <row r="447" spans="1:15" ht="15.95" customHeight="1" x14ac:dyDescent="0.2">
      <c r="A447" s="40"/>
      <c r="B447" s="46"/>
      <c r="C447" s="41"/>
      <c r="D447" s="41"/>
      <c r="E447" s="90"/>
      <c r="F447" s="90"/>
      <c r="G447" s="90"/>
      <c r="H447" s="90"/>
      <c r="I447" s="90"/>
      <c r="J447" s="90"/>
      <c r="K447" s="163"/>
      <c r="L447" s="163"/>
      <c r="M447" s="158"/>
      <c r="O447" s="82">
        <f t="shared" si="59"/>
        <v>0</v>
      </c>
    </row>
    <row r="448" spans="1:15" ht="15.95" customHeight="1" x14ac:dyDescent="0.2">
      <c r="A448" s="40"/>
      <c r="B448" s="46"/>
      <c r="C448" s="41"/>
      <c r="D448" s="41"/>
      <c r="E448" s="90"/>
      <c r="F448" s="90"/>
      <c r="G448" s="90"/>
      <c r="H448" s="90"/>
      <c r="I448" s="90"/>
      <c r="J448" s="90"/>
      <c r="K448" s="163"/>
      <c r="L448" s="163"/>
      <c r="M448" s="158"/>
      <c r="O448" s="82">
        <f t="shared" si="59"/>
        <v>0</v>
      </c>
    </row>
    <row r="449" spans="1:15" ht="15.75" customHeight="1" x14ac:dyDescent="0.2">
      <c r="A449" s="40" t="s">
        <v>174</v>
      </c>
      <c r="B449" s="46" t="s">
        <v>326</v>
      </c>
      <c r="C449" s="41" t="s">
        <v>1</v>
      </c>
      <c r="D449" s="41"/>
      <c r="E449" s="90"/>
      <c r="F449" s="90"/>
      <c r="G449" s="90"/>
      <c r="H449" s="90"/>
      <c r="I449" s="90"/>
      <c r="J449" s="90"/>
      <c r="K449" s="163">
        <v>0</v>
      </c>
      <c r="L449" s="163">
        <v>800</v>
      </c>
      <c r="M449" s="158">
        <f t="shared" si="52"/>
        <v>0</v>
      </c>
      <c r="O449" s="82">
        <f t="shared" si="59"/>
        <v>0</v>
      </c>
    </row>
    <row r="450" spans="1:15" s="5" customFormat="1" ht="18" customHeight="1" x14ac:dyDescent="0.2">
      <c r="A450" s="250" t="s">
        <v>102</v>
      </c>
      <c r="B450" s="251"/>
      <c r="C450" s="251"/>
      <c r="D450" s="251"/>
      <c r="E450" s="251"/>
      <c r="F450" s="251"/>
      <c r="G450" s="251"/>
      <c r="H450" s="251"/>
      <c r="I450" s="251"/>
      <c r="J450" s="251"/>
      <c r="K450" s="251"/>
      <c r="L450" s="252"/>
      <c r="M450" s="159">
        <f>SUM(M356:M449)</f>
        <v>231650</v>
      </c>
      <c r="O450" s="82">
        <f t="shared" si="59"/>
        <v>0</v>
      </c>
    </row>
    <row r="451" spans="1:15" ht="18" customHeight="1" x14ac:dyDescent="0.2">
      <c r="A451" s="24"/>
      <c r="B451" s="25" t="s">
        <v>177</v>
      </c>
      <c r="C451" s="26"/>
      <c r="D451" s="26"/>
      <c r="E451" s="88"/>
      <c r="F451" s="88"/>
      <c r="G451" s="88"/>
      <c r="H451" s="88"/>
      <c r="I451" s="88"/>
      <c r="J451" s="88"/>
      <c r="K451" s="155"/>
      <c r="L451" s="155"/>
      <c r="M451" s="158"/>
      <c r="O451" s="82">
        <f t="shared" si="59"/>
        <v>0</v>
      </c>
    </row>
    <row r="452" spans="1:15" ht="15.95" customHeight="1" x14ac:dyDescent="0.2">
      <c r="A452" s="40" t="s">
        <v>176</v>
      </c>
      <c r="B452" s="46" t="s">
        <v>492</v>
      </c>
      <c r="C452" s="41" t="s">
        <v>4</v>
      </c>
      <c r="D452" s="41"/>
      <c r="E452" s="90"/>
      <c r="F452" s="90"/>
      <c r="G452" s="90"/>
      <c r="H452" s="90"/>
      <c r="I452" s="90"/>
      <c r="J452" s="90">
        <f>SUM(I453:I483)</f>
        <v>876.22</v>
      </c>
      <c r="K452" s="163">
        <v>890</v>
      </c>
      <c r="L452" s="163">
        <v>40</v>
      </c>
      <c r="M452" s="158">
        <f>+L452*K452</f>
        <v>35600</v>
      </c>
      <c r="O452" s="82">
        <f t="shared" si="59"/>
        <v>13.779999999999973</v>
      </c>
    </row>
    <row r="453" spans="1:15" s="5" customFormat="1" ht="16.149999999999999" customHeight="1" x14ac:dyDescent="0.2">
      <c r="A453" s="30"/>
      <c r="B453" s="98" t="s">
        <v>464</v>
      </c>
      <c r="C453" s="32"/>
      <c r="D453" s="32"/>
      <c r="E453" s="89"/>
      <c r="F453" s="89"/>
      <c r="G453" s="89"/>
      <c r="H453" s="89"/>
      <c r="I453" s="89"/>
      <c r="K453" s="157"/>
      <c r="L453" s="157"/>
      <c r="M453" s="158"/>
      <c r="O453" s="82">
        <f t="shared" si="59"/>
        <v>0</v>
      </c>
    </row>
    <row r="454" spans="1:15" s="5" customFormat="1" ht="16.149999999999999" customHeight="1" x14ac:dyDescent="0.2">
      <c r="A454" s="30"/>
      <c r="B454" s="105" t="s">
        <v>474</v>
      </c>
      <c r="C454" s="32"/>
      <c r="D454" s="32">
        <v>2</v>
      </c>
      <c r="E454" s="89">
        <v>21.4</v>
      </c>
      <c r="F454" s="89"/>
      <c r="G454" s="89">
        <v>8.0500000000000007</v>
      </c>
      <c r="H454" s="89">
        <f t="shared" ref="H454:H458" si="76">PRODUCT(D454:G454)</f>
        <v>344.54</v>
      </c>
      <c r="I454" s="89"/>
      <c r="K454" s="157"/>
      <c r="L454" s="157"/>
      <c r="M454" s="158"/>
      <c r="O454" s="82">
        <f t="shared" ref="O454:O517" si="77">K454-J454</f>
        <v>0</v>
      </c>
    </row>
    <row r="455" spans="1:15" ht="15.95" customHeight="1" x14ac:dyDescent="0.2">
      <c r="A455" s="30"/>
      <c r="B455" s="46"/>
      <c r="C455" s="41"/>
      <c r="D455" s="41">
        <v>2</v>
      </c>
      <c r="E455" s="90">
        <v>9.8000000000000007</v>
      </c>
      <c r="F455" s="90"/>
      <c r="G455" s="89">
        <v>8.0500000000000007</v>
      </c>
      <c r="H455" s="89">
        <f t="shared" si="76"/>
        <v>157.78000000000003</v>
      </c>
      <c r="I455" s="90"/>
      <c r="J455" s="90"/>
      <c r="K455" s="157"/>
      <c r="L455" s="157"/>
      <c r="M455" s="158"/>
      <c r="O455" s="82">
        <f t="shared" si="77"/>
        <v>0</v>
      </c>
    </row>
    <row r="456" spans="1:15" s="5" customFormat="1" ht="16.149999999999999" customHeight="1" x14ac:dyDescent="0.2">
      <c r="A456" s="30"/>
      <c r="B456" s="110" t="s">
        <v>480</v>
      </c>
      <c r="C456" s="41"/>
      <c r="D456" s="41"/>
      <c r="E456" s="109"/>
      <c r="F456" s="109"/>
      <c r="G456" s="109"/>
      <c r="H456" s="89">
        <f t="shared" si="76"/>
        <v>0</v>
      </c>
      <c r="I456" s="89"/>
      <c r="K456" s="157"/>
      <c r="L456" s="157"/>
      <c r="M456" s="158"/>
      <c r="O456" s="82">
        <f t="shared" si="77"/>
        <v>0</v>
      </c>
    </row>
    <row r="457" spans="1:15" ht="15.95" customHeight="1" x14ac:dyDescent="0.2">
      <c r="A457" s="30"/>
      <c r="B457" s="41" t="s">
        <v>424</v>
      </c>
      <c r="C457" s="41"/>
      <c r="D457" s="41">
        <v>-24</v>
      </c>
      <c r="E457" s="90">
        <v>0.9</v>
      </c>
      <c r="F457" s="90"/>
      <c r="G457" s="90">
        <v>1.2</v>
      </c>
      <c r="H457" s="89">
        <f t="shared" ref="H457" si="78">PRODUCT(D457:G457)</f>
        <v>-25.92</v>
      </c>
      <c r="I457" s="90"/>
      <c r="J457" s="90"/>
      <c r="K457" s="157"/>
      <c r="L457" s="157"/>
      <c r="M457" s="158"/>
      <c r="O457" s="82">
        <f t="shared" si="77"/>
        <v>0</v>
      </c>
    </row>
    <row r="458" spans="1:15" ht="15.95" customHeight="1" x14ac:dyDescent="0.2">
      <c r="A458" s="30"/>
      <c r="B458" s="41" t="s">
        <v>481</v>
      </c>
      <c r="C458" s="41"/>
      <c r="D458" s="41">
        <v>-4</v>
      </c>
      <c r="E458" s="90">
        <v>0.9</v>
      </c>
      <c r="F458" s="90"/>
      <c r="G458" s="90">
        <v>2.2000000000000002</v>
      </c>
      <c r="H458" s="89">
        <f t="shared" si="76"/>
        <v>-7.9200000000000008</v>
      </c>
      <c r="I458" s="89"/>
      <c r="J458" s="90"/>
      <c r="K458" s="157"/>
      <c r="L458" s="157"/>
      <c r="M458" s="158"/>
      <c r="O458" s="82">
        <f t="shared" si="77"/>
        <v>0</v>
      </c>
    </row>
    <row r="459" spans="1:15" ht="15.95" customHeight="1" x14ac:dyDescent="0.2">
      <c r="A459" s="30"/>
      <c r="B459" s="46"/>
      <c r="C459" s="41"/>
      <c r="D459" s="41"/>
      <c r="E459" s="90"/>
      <c r="F459" s="90"/>
      <c r="G459" s="90"/>
      <c r="H459" s="89"/>
      <c r="I459" s="90">
        <f>SUM(H454:H459)</f>
        <v>468.48</v>
      </c>
      <c r="J459" s="90"/>
      <c r="K459" s="157"/>
      <c r="L459" s="157"/>
      <c r="M459" s="158"/>
      <c r="O459" s="82">
        <f t="shared" si="77"/>
        <v>0</v>
      </c>
    </row>
    <row r="460" spans="1:15" s="5" customFormat="1" ht="16.149999999999999" customHeight="1" x14ac:dyDescent="0.2">
      <c r="A460" s="30"/>
      <c r="B460" s="98" t="s">
        <v>465</v>
      </c>
      <c r="C460" s="32"/>
      <c r="D460" s="32"/>
      <c r="E460" s="89"/>
      <c r="F460" s="89"/>
      <c r="G460" s="89"/>
      <c r="H460" s="89">
        <f t="shared" ref="H460:H466" si="79">PRODUCT(D460:G460)</f>
        <v>0</v>
      </c>
      <c r="I460" s="89"/>
      <c r="J460" s="90"/>
      <c r="K460" s="157"/>
      <c r="L460" s="157"/>
      <c r="M460" s="158"/>
      <c r="O460" s="82">
        <f t="shared" si="77"/>
        <v>0</v>
      </c>
    </row>
    <row r="461" spans="1:15" ht="15.95" customHeight="1" x14ac:dyDescent="0.2">
      <c r="A461" s="30"/>
      <c r="B461" s="46"/>
      <c r="C461" s="41"/>
      <c r="D461" s="41">
        <v>2</v>
      </c>
      <c r="E461" s="90">
        <v>12.7</v>
      </c>
      <c r="F461" s="90"/>
      <c r="G461" s="90">
        <f>0.45+3+0.1+0.25+0.7</f>
        <v>4.5</v>
      </c>
      <c r="H461" s="89">
        <f t="shared" si="79"/>
        <v>114.3</v>
      </c>
      <c r="I461" s="90"/>
      <c r="J461" s="90"/>
      <c r="K461" s="157"/>
      <c r="L461" s="157"/>
      <c r="M461" s="158"/>
      <c r="O461" s="82">
        <f t="shared" si="77"/>
        <v>0</v>
      </c>
    </row>
    <row r="462" spans="1:15" ht="15.95" customHeight="1" x14ac:dyDescent="0.2">
      <c r="A462" s="30"/>
      <c r="B462" s="46"/>
      <c r="C462" s="41"/>
      <c r="D462" s="41">
        <v>2</v>
      </c>
      <c r="E462" s="90">
        <v>10.8</v>
      </c>
      <c r="F462" s="90"/>
      <c r="G462" s="90">
        <f>0.45+3+0.1+0.25+0.7</f>
        <v>4.5</v>
      </c>
      <c r="H462" s="89">
        <f t="shared" si="79"/>
        <v>97.2</v>
      </c>
      <c r="I462" s="90"/>
      <c r="J462" s="90"/>
      <c r="K462" s="157"/>
      <c r="L462" s="157"/>
      <c r="M462" s="158"/>
      <c r="O462" s="82">
        <f t="shared" si="77"/>
        <v>0</v>
      </c>
    </row>
    <row r="463" spans="1:15" ht="15.95" customHeight="1" x14ac:dyDescent="0.2">
      <c r="A463" s="30"/>
      <c r="B463" s="46"/>
      <c r="C463" s="41"/>
      <c r="D463" s="41">
        <v>2</v>
      </c>
      <c r="E463" s="90">
        <v>0.8</v>
      </c>
      <c r="F463" s="90"/>
      <c r="G463" s="90">
        <v>3.1</v>
      </c>
      <c r="H463" s="89">
        <f t="shared" si="79"/>
        <v>4.9600000000000009</v>
      </c>
      <c r="I463" s="90"/>
      <c r="J463" s="90"/>
      <c r="K463" s="157"/>
      <c r="L463" s="157"/>
      <c r="M463" s="158"/>
      <c r="O463" s="82">
        <f t="shared" si="77"/>
        <v>0</v>
      </c>
    </row>
    <row r="464" spans="1:15" s="5" customFormat="1" ht="16.149999999999999" customHeight="1" x14ac:dyDescent="0.2">
      <c r="A464" s="30"/>
      <c r="B464" s="110" t="s">
        <v>480</v>
      </c>
      <c r="C464" s="41"/>
      <c r="D464" s="41"/>
      <c r="E464" s="109"/>
      <c r="F464" s="109"/>
      <c r="G464" s="109"/>
      <c r="H464" s="89">
        <f t="shared" si="79"/>
        <v>0</v>
      </c>
      <c r="I464" s="89"/>
      <c r="J464" s="90"/>
      <c r="K464" s="157"/>
      <c r="L464" s="157"/>
      <c r="M464" s="158"/>
      <c r="O464" s="82">
        <f t="shared" si="77"/>
        <v>0</v>
      </c>
    </row>
    <row r="465" spans="1:15" ht="15.95" customHeight="1" x14ac:dyDescent="0.2">
      <c r="A465" s="30"/>
      <c r="B465" s="41" t="s">
        <v>424</v>
      </c>
      <c r="C465" s="41"/>
      <c r="D465" s="41">
        <v>-5</v>
      </c>
      <c r="E465" s="90">
        <v>0.9</v>
      </c>
      <c r="F465" s="90"/>
      <c r="G465" s="90">
        <v>1.2</v>
      </c>
      <c r="H465" s="89">
        <f t="shared" si="79"/>
        <v>-5.3999999999999995</v>
      </c>
      <c r="I465" s="90"/>
      <c r="J465" s="90"/>
      <c r="K465" s="157"/>
      <c r="L465" s="157"/>
      <c r="M465" s="158"/>
      <c r="O465" s="82">
        <f t="shared" si="77"/>
        <v>0</v>
      </c>
    </row>
    <row r="466" spans="1:15" ht="15.95" customHeight="1" x14ac:dyDescent="0.2">
      <c r="A466" s="30"/>
      <c r="B466" s="41" t="s">
        <v>493</v>
      </c>
      <c r="C466" s="41"/>
      <c r="D466" s="41">
        <v>-1</v>
      </c>
      <c r="E466" s="90">
        <v>2</v>
      </c>
      <c r="F466" s="90"/>
      <c r="G466" s="90">
        <v>2.2000000000000002</v>
      </c>
      <c r="H466" s="89">
        <f t="shared" si="79"/>
        <v>-4.4000000000000004</v>
      </c>
      <c r="I466" s="89"/>
      <c r="J466" s="90"/>
      <c r="K466" s="157"/>
      <c r="L466" s="157"/>
      <c r="M466" s="158"/>
      <c r="O466" s="82">
        <f t="shared" si="77"/>
        <v>0</v>
      </c>
    </row>
    <row r="467" spans="1:15" ht="15.95" customHeight="1" x14ac:dyDescent="0.2">
      <c r="A467" s="30"/>
      <c r="B467" s="41" t="s">
        <v>481</v>
      </c>
      <c r="C467" s="41"/>
      <c r="D467" s="41">
        <v>-1</v>
      </c>
      <c r="E467" s="90">
        <v>0.9</v>
      </c>
      <c r="F467" s="90"/>
      <c r="G467" s="90">
        <v>2.2000000000000002</v>
      </c>
      <c r="H467" s="89">
        <f t="shared" ref="H467" si="80">PRODUCT(D467:G467)</f>
        <v>-1.9800000000000002</v>
      </c>
      <c r="I467" s="89"/>
      <c r="J467" s="90"/>
      <c r="K467" s="157"/>
      <c r="L467" s="157"/>
      <c r="M467" s="158"/>
      <c r="O467" s="82">
        <f t="shared" si="77"/>
        <v>0</v>
      </c>
    </row>
    <row r="468" spans="1:15" ht="15.95" customHeight="1" x14ac:dyDescent="0.2">
      <c r="A468" s="30"/>
      <c r="B468" s="46"/>
      <c r="C468" s="41"/>
      <c r="D468" s="41"/>
      <c r="E468" s="90"/>
      <c r="F468" s="90"/>
      <c r="G468" s="90"/>
      <c r="H468" s="89"/>
      <c r="I468" s="90">
        <f>SUM(H461:H467)</f>
        <v>204.68</v>
      </c>
      <c r="J468" s="90"/>
      <c r="K468" s="157"/>
      <c r="L468" s="157"/>
      <c r="M468" s="158"/>
      <c r="O468" s="82">
        <f t="shared" si="77"/>
        <v>0</v>
      </c>
    </row>
    <row r="469" spans="1:15" s="5" customFormat="1" ht="16.149999999999999" customHeight="1" x14ac:dyDescent="0.2">
      <c r="A469" s="30"/>
      <c r="B469" s="98" t="s">
        <v>466</v>
      </c>
      <c r="C469" s="32"/>
      <c r="D469" s="32"/>
      <c r="E469" s="89"/>
      <c r="F469" s="89"/>
      <c r="G469" s="89"/>
      <c r="H469" s="89">
        <f t="shared" ref="H469:H474" si="81">PRODUCT(D469:G469)</f>
        <v>0</v>
      </c>
      <c r="I469" s="89"/>
      <c r="J469" s="90"/>
      <c r="K469" s="157"/>
      <c r="L469" s="157"/>
      <c r="M469" s="158"/>
      <c r="O469" s="82">
        <f t="shared" si="77"/>
        <v>0</v>
      </c>
    </row>
    <row r="470" spans="1:15" ht="15.95" customHeight="1" x14ac:dyDescent="0.2">
      <c r="A470" s="30"/>
      <c r="B470" s="46"/>
      <c r="C470" s="41"/>
      <c r="D470" s="41">
        <v>2</v>
      </c>
      <c r="E470" s="90">
        <v>8.8000000000000007</v>
      </c>
      <c r="F470" s="90"/>
      <c r="G470" s="90">
        <f t="shared" ref="G470:G471" si="82">0.45+3+0.1+0.25+0.7</f>
        <v>4.5</v>
      </c>
      <c r="H470" s="89">
        <f t="shared" si="81"/>
        <v>79.2</v>
      </c>
      <c r="I470" s="90"/>
      <c r="J470" s="90"/>
      <c r="K470" s="157"/>
      <c r="L470" s="157"/>
      <c r="M470" s="158"/>
      <c r="O470" s="82">
        <f t="shared" si="77"/>
        <v>0</v>
      </c>
    </row>
    <row r="471" spans="1:15" ht="15.95" customHeight="1" x14ac:dyDescent="0.2">
      <c r="A471" s="30"/>
      <c r="B471" s="46"/>
      <c r="C471" s="41"/>
      <c r="D471" s="41">
        <v>2</v>
      </c>
      <c r="E471" s="90">
        <v>9.8000000000000007</v>
      </c>
      <c r="F471" s="90"/>
      <c r="G471" s="90">
        <f t="shared" si="82"/>
        <v>4.5</v>
      </c>
      <c r="H471" s="89">
        <f t="shared" si="81"/>
        <v>88.2</v>
      </c>
      <c r="I471" s="80"/>
      <c r="J471" s="90"/>
      <c r="K471" s="157"/>
      <c r="L471" s="157"/>
      <c r="M471" s="158"/>
      <c r="O471" s="82">
        <f t="shared" si="77"/>
        <v>0</v>
      </c>
    </row>
    <row r="472" spans="1:15" s="5" customFormat="1" ht="16.149999999999999" customHeight="1" x14ac:dyDescent="0.2">
      <c r="A472" s="30"/>
      <c r="B472" s="110" t="s">
        <v>480</v>
      </c>
      <c r="C472" s="41"/>
      <c r="D472" s="41"/>
      <c r="E472" s="109"/>
      <c r="F472" s="109"/>
      <c r="G472" s="109"/>
      <c r="H472" s="89">
        <f t="shared" si="81"/>
        <v>0</v>
      </c>
      <c r="I472" s="89"/>
      <c r="J472" s="90"/>
      <c r="K472" s="157"/>
      <c r="L472" s="157"/>
      <c r="M472" s="158"/>
      <c r="O472" s="82">
        <f t="shared" si="77"/>
        <v>0</v>
      </c>
    </row>
    <row r="473" spans="1:15" ht="15.95" customHeight="1" x14ac:dyDescent="0.2">
      <c r="A473" s="30"/>
      <c r="B473" s="41" t="s">
        <v>424</v>
      </c>
      <c r="C473" s="41"/>
      <c r="D473" s="41">
        <v>-8</v>
      </c>
      <c r="E473" s="90">
        <v>0.9</v>
      </c>
      <c r="F473" s="90"/>
      <c r="G473" s="90">
        <v>0.5</v>
      </c>
      <c r="H473" s="89">
        <f t="shared" si="81"/>
        <v>-3.6</v>
      </c>
      <c r="I473" s="90"/>
      <c r="J473" s="90"/>
      <c r="K473" s="157"/>
      <c r="L473" s="157"/>
      <c r="M473" s="158"/>
      <c r="O473" s="82">
        <f t="shared" si="77"/>
        <v>0</v>
      </c>
    </row>
    <row r="474" spans="1:15" ht="15.95" customHeight="1" x14ac:dyDescent="0.2">
      <c r="A474" s="30"/>
      <c r="B474" s="41" t="s">
        <v>481</v>
      </c>
      <c r="C474" s="41"/>
      <c r="D474" s="41">
        <v>-4</v>
      </c>
      <c r="E474" s="90">
        <v>1</v>
      </c>
      <c r="F474" s="90"/>
      <c r="G474" s="90">
        <v>2.2000000000000002</v>
      </c>
      <c r="H474" s="89">
        <f t="shared" si="81"/>
        <v>-8.8000000000000007</v>
      </c>
      <c r="I474" s="89"/>
      <c r="J474" s="90"/>
      <c r="K474" s="157"/>
      <c r="L474" s="157"/>
      <c r="M474" s="158"/>
      <c r="O474" s="82">
        <f t="shared" si="77"/>
        <v>0</v>
      </c>
    </row>
    <row r="475" spans="1:15" ht="15.95" customHeight="1" x14ac:dyDescent="0.2">
      <c r="A475" s="30"/>
      <c r="B475" s="46"/>
      <c r="C475" s="41"/>
      <c r="D475" s="41"/>
      <c r="E475" s="90"/>
      <c r="F475" s="90"/>
      <c r="G475" s="90"/>
      <c r="H475" s="89"/>
      <c r="I475" s="90">
        <f>SUM(H470:H474)</f>
        <v>155</v>
      </c>
      <c r="J475" s="90"/>
      <c r="K475" s="157"/>
      <c r="L475" s="157"/>
      <c r="M475" s="158"/>
      <c r="O475" s="82">
        <f t="shared" si="77"/>
        <v>0</v>
      </c>
    </row>
    <row r="476" spans="1:15" s="5" customFormat="1" ht="16.149999999999999" customHeight="1" x14ac:dyDescent="0.2">
      <c r="A476" s="30"/>
      <c r="B476" s="98" t="s">
        <v>467</v>
      </c>
      <c r="C476" s="32"/>
      <c r="D476" s="32"/>
      <c r="E476" s="89"/>
      <c r="F476" s="89"/>
      <c r="G476" s="89"/>
      <c r="H476" s="89">
        <f t="shared" ref="H476:H481" si="83">PRODUCT(D476:G476)</f>
        <v>0</v>
      </c>
      <c r="I476" s="89"/>
      <c r="J476" s="90"/>
      <c r="K476" s="157"/>
      <c r="L476" s="157"/>
      <c r="M476" s="158"/>
      <c r="O476" s="82">
        <f t="shared" si="77"/>
        <v>0</v>
      </c>
    </row>
    <row r="477" spans="1:15" ht="15.95" customHeight="1" x14ac:dyDescent="0.2">
      <c r="A477" s="30"/>
      <c r="B477" s="46"/>
      <c r="C477" s="41"/>
      <c r="D477" s="41">
        <v>2</v>
      </c>
      <c r="E477" s="90">
        <v>2.4</v>
      </c>
      <c r="F477" s="90"/>
      <c r="G477" s="90">
        <f t="shared" ref="G477:G478" si="84">0.45+3+0.1+0.25+0.7</f>
        <v>4.5</v>
      </c>
      <c r="H477" s="89">
        <f t="shared" si="83"/>
        <v>21.599999999999998</v>
      </c>
      <c r="I477" s="90"/>
      <c r="J477" s="90"/>
      <c r="K477" s="157"/>
      <c r="L477" s="157"/>
      <c r="M477" s="158"/>
      <c r="O477" s="82">
        <f t="shared" si="77"/>
        <v>0</v>
      </c>
    </row>
    <row r="478" spans="1:15" ht="15.95" customHeight="1" x14ac:dyDescent="0.2">
      <c r="A478" s="30"/>
      <c r="B478" s="46"/>
      <c r="C478" s="41"/>
      <c r="D478" s="41">
        <v>2</v>
      </c>
      <c r="E478" s="90">
        <v>3.4</v>
      </c>
      <c r="F478" s="90"/>
      <c r="G478" s="90">
        <f t="shared" si="84"/>
        <v>4.5</v>
      </c>
      <c r="H478" s="89">
        <f t="shared" si="83"/>
        <v>30.599999999999998</v>
      </c>
      <c r="I478" s="80"/>
      <c r="J478" s="90"/>
      <c r="K478" s="157"/>
      <c r="L478" s="157"/>
      <c r="M478" s="158"/>
      <c r="O478" s="82">
        <f t="shared" si="77"/>
        <v>0</v>
      </c>
    </row>
    <row r="479" spans="1:15" s="5" customFormat="1" ht="16.149999999999999" customHeight="1" x14ac:dyDescent="0.2">
      <c r="A479" s="30"/>
      <c r="B479" s="110" t="s">
        <v>480</v>
      </c>
      <c r="C479" s="41"/>
      <c r="D479" s="41"/>
      <c r="E479" s="109"/>
      <c r="F479" s="109"/>
      <c r="G479" s="109"/>
      <c r="H479" s="89">
        <f t="shared" si="83"/>
        <v>0</v>
      </c>
      <c r="I479" s="89"/>
      <c r="J479" s="90"/>
      <c r="K479" s="157"/>
      <c r="L479" s="157"/>
      <c r="M479" s="158"/>
      <c r="O479" s="82">
        <f t="shared" si="77"/>
        <v>0</v>
      </c>
    </row>
    <row r="480" spans="1:15" ht="15.95" customHeight="1" x14ac:dyDescent="0.2">
      <c r="A480" s="30"/>
      <c r="B480" s="41" t="s">
        <v>424</v>
      </c>
      <c r="C480" s="41"/>
      <c r="D480" s="41">
        <v>-2</v>
      </c>
      <c r="E480" s="90">
        <v>0.9</v>
      </c>
      <c r="F480" s="90"/>
      <c r="G480" s="90">
        <v>1.2</v>
      </c>
      <c r="H480" s="89">
        <f t="shared" si="83"/>
        <v>-2.16</v>
      </c>
      <c r="I480" s="90"/>
      <c r="J480" s="90"/>
      <c r="K480" s="157"/>
      <c r="L480" s="157"/>
      <c r="M480" s="158"/>
      <c r="O480" s="82">
        <f t="shared" si="77"/>
        <v>0</v>
      </c>
    </row>
    <row r="481" spans="1:15" ht="15.95" customHeight="1" x14ac:dyDescent="0.2">
      <c r="A481" s="30"/>
      <c r="B481" s="41" t="s">
        <v>481</v>
      </c>
      <c r="C481" s="41"/>
      <c r="D481" s="41">
        <v>-1</v>
      </c>
      <c r="E481" s="90">
        <v>0.9</v>
      </c>
      <c r="F481" s="90"/>
      <c r="G481" s="90">
        <v>2.2000000000000002</v>
      </c>
      <c r="H481" s="89">
        <f t="shared" si="83"/>
        <v>-1.9800000000000002</v>
      </c>
      <c r="I481" s="89"/>
      <c r="J481" s="90"/>
      <c r="K481" s="157"/>
      <c r="L481" s="157"/>
      <c r="M481" s="158"/>
      <c r="O481" s="82">
        <f t="shared" si="77"/>
        <v>0</v>
      </c>
    </row>
    <row r="482" spans="1:15" ht="15.95" customHeight="1" x14ac:dyDescent="0.2">
      <c r="A482" s="40"/>
      <c r="B482" s="46"/>
      <c r="C482" s="41"/>
      <c r="D482" s="41"/>
      <c r="E482" s="90"/>
      <c r="F482" s="90"/>
      <c r="G482" s="90"/>
      <c r="H482" s="90"/>
      <c r="I482" s="90">
        <f>SUM(H477:H481)</f>
        <v>48.059999999999995</v>
      </c>
      <c r="J482" s="90"/>
      <c r="K482" s="163"/>
      <c r="L482" s="163"/>
      <c r="M482" s="158"/>
      <c r="O482" s="82">
        <f t="shared" si="77"/>
        <v>0</v>
      </c>
    </row>
    <row r="483" spans="1:15" ht="15.95" customHeight="1" x14ac:dyDescent="0.2">
      <c r="A483" s="40"/>
      <c r="B483" s="46"/>
      <c r="C483" s="41"/>
      <c r="D483" s="41"/>
      <c r="E483" s="90"/>
      <c r="F483" s="90"/>
      <c r="G483" s="90"/>
      <c r="H483" s="90"/>
      <c r="I483" s="90"/>
      <c r="J483" s="90"/>
      <c r="K483" s="163"/>
      <c r="L483" s="163"/>
      <c r="M483" s="158"/>
      <c r="O483" s="82">
        <f t="shared" si="77"/>
        <v>0</v>
      </c>
    </row>
    <row r="484" spans="1:15" ht="15.95" customHeight="1" x14ac:dyDescent="0.2">
      <c r="A484" s="40" t="s">
        <v>178</v>
      </c>
      <c r="B484" s="46" t="s">
        <v>437</v>
      </c>
      <c r="C484" s="41" t="s">
        <v>4</v>
      </c>
      <c r="D484" s="41"/>
      <c r="E484" s="90"/>
      <c r="F484" s="90"/>
      <c r="G484" s="90"/>
      <c r="H484" s="90"/>
      <c r="I484" s="90"/>
      <c r="J484" s="90"/>
      <c r="K484" s="163"/>
      <c r="L484" s="163">
        <v>30</v>
      </c>
      <c r="M484" s="158">
        <f>+L484*K484</f>
        <v>0</v>
      </c>
      <c r="O484" s="82">
        <f t="shared" si="77"/>
        <v>0</v>
      </c>
    </row>
    <row r="485" spans="1:15" ht="15.95" customHeight="1" x14ac:dyDescent="0.2">
      <c r="A485" s="40"/>
      <c r="B485" s="46"/>
      <c r="C485" s="41"/>
      <c r="D485" s="41"/>
      <c r="E485" s="90"/>
      <c r="F485" s="90"/>
      <c r="G485" s="90"/>
      <c r="H485" s="90"/>
      <c r="I485" s="90"/>
      <c r="J485" s="90"/>
      <c r="K485" s="163"/>
      <c r="L485" s="163"/>
      <c r="M485" s="158"/>
      <c r="O485" s="82">
        <f t="shared" si="77"/>
        <v>0</v>
      </c>
    </row>
    <row r="486" spans="1:15" ht="24" x14ac:dyDescent="0.2">
      <c r="A486" s="40" t="s">
        <v>179</v>
      </c>
      <c r="B486" s="45" t="s">
        <v>84</v>
      </c>
      <c r="C486" s="41" t="s">
        <v>4</v>
      </c>
      <c r="D486" s="41"/>
      <c r="E486" s="90"/>
      <c r="F486" s="90"/>
      <c r="G486" s="90"/>
      <c r="H486" s="90"/>
      <c r="I486" s="90"/>
      <c r="J486" s="90">
        <f>SUM(I488:I562)</f>
        <v>824.44000000000017</v>
      </c>
      <c r="K486" s="163">
        <v>850</v>
      </c>
      <c r="L486" s="163">
        <v>35</v>
      </c>
      <c r="M486" s="158">
        <f>+L486*K486</f>
        <v>29750</v>
      </c>
      <c r="O486" s="82">
        <f t="shared" si="77"/>
        <v>25.559999999999832</v>
      </c>
    </row>
    <row r="487" spans="1:15" s="5" customFormat="1" ht="16.149999999999999" customHeight="1" x14ac:dyDescent="0.2">
      <c r="A487" s="30"/>
      <c r="B487" s="98" t="s">
        <v>464</v>
      </c>
      <c r="C487" s="32"/>
      <c r="D487" s="32"/>
      <c r="E487" s="89"/>
      <c r="F487" s="89"/>
      <c r="G487" s="89"/>
      <c r="H487" s="89"/>
      <c r="I487" s="89"/>
      <c r="K487" s="157"/>
      <c r="L487" s="157"/>
      <c r="M487" s="158"/>
      <c r="O487" s="82">
        <f t="shared" si="77"/>
        <v>0</v>
      </c>
    </row>
    <row r="488" spans="1:15" s="5" customFormat="1" ht="16.149999999999999" customHeight="1" x14ac:dyDescent="0.2">
      <c r="A488" s="30"/>
      <c r="B488" s="105" t="s">
        <v>474</v>
      </c>
      <c r="C488" s="32"/>
      <c r="D488" s="32"/>
      <c r="E488" s="89"/>
      <c r="F488" s="89"/>
      <c r="G488" s="89"/>
      <c r="I488" s="89"/>
      <c r="K488" s="157"/>
      <c r="L488" s="157"/>
      <c r="M488" s="158"/>
      <c r="O488" s="82">
        <f t="shared" si="77"/>
        <v>0</v>
      </c>
    </row>
    <row r="489" spans="1:15" s="5" customFormat="1" ht="16.149999999999999" customHeight="1" x14ac:dyDescent="0.2">
      <c r="A489" s="30"/>
      <c r="B489" s="44" t="s">
        <v>494</v>
      </c>
      <c r="C489" s="41"/>
      <c r="D489" s="41">
        <v>4</v>
      </c>
      <c r="E489" s="109">
        <v>6.6</v>
      </c>
      <c r="F489" s="109"/>
      <c r="G489" s="109">
        <v>3.1</v>
      </c>
      <c r="H489" s="89">
        <f>PRODUCT(D489:G489)</f>
        <v>81.84</v>
      </c>
      <c r="I489" s="89"/>
      <c r="K489" s="157"/>
      <c r="L489" s="157"/>
      <c r="M489" s="158"/>
      <c r="O489" s="82">
        <f t="shared" si="77"/>
        <v>0</v>
      </c>
    </row>
    <row r="490" spans="1:15" s="5" customFormat="1" ht="16.149999999999999" customHeight="1" x14ac:dyDescent="0.2">
      <c r="A490" s="30"/>
      <c r="B490" s="44"/>
      <c r="C490" s="41"/>
      <c r="D490" s="41">
        <v>4</v>
      </c>
      <c r="E490" s="109">
        <v>8.6</v>
      </c>
      <c r="F490" s="109"/>
      <c r="G490" s="109">
        <v>3.1</v>
      </c>
      <c r="H490" s="89">
        <f t="shared" ref="H490:H494" si="85">PRODUCT(D490:G490)</f>
        <v>106.64</v>
      </c>
      <c r="I490" s="89"/>
      <c r="K490" s="157"/>
      <c r="L490" s="157"/>
      <c r="M490" s="158"/>
      <c r="O490" s="82">
        <f t="shared" si="77"/>
        <v>0</v>
      </c>
    </row>
    <row r="491" spans="1:15" s="5" customFormat="1" ht="16.149999999999999" customHeight="1" x14ac:dyDescent="0.2">
      <c r="A491" s="30"/>
      <c r="B491" s="44"/>
      <c r="C491" s="41"/>
      <c r="D491" s="41">
        <v>4</v>
      </c>
      <c r="E491" s="109">
        <v>0.6</v>
      </c>
      <c r="F491" s="109"/>
      <c r="G491" s="109">
        <v>3.1</v>
      </c>
      <c r="H491" s="89">
        <f t="shared" si="85"/>
        <v>7.4399999999999995</v>
      </c>
      <c r="I491" s="89"/>
      <c r="K491" s="157"/>
      <c r="L491" s="157"/>
      <c r="M491" s="158"/>
      <c r="O491" s="82">
        <f t="shared" si="77"/>
        <v>0</v>
      </c>
    </row>
    <row r="492" spans="1:15" s="5" customFormat="1" ht="16.149999999999999" customHeight="1" x14ac:dyDescent="0.2">
      <c r="A492" s="30"/>
      <c r="B492" s="110" t="s">
        <v>480</v>
      </c>
      <c r="C492" s="41"/>
      <c r="D492" s="41"/>
      <c r="E492" s="109"/>
      <c r="F492" s="109"/>
      <c r="G492" s="109"/>
      <c r="H492" s="89">
        <f t="shared" si="85"/>
        <v>0</v>
      </c>
      <c r="I492" s="89"/>
      <c r="K492" s="157"/>
      <c r="L492" s="157"/>
      <c r="M492" s="158"/>
      <c r="O492" s="82">
        <f t="shared" si="77"/>
        <v>0</v>
      </c>
    </row>
    <row r="493" spans="1:15" ht="15.95" customHeight="1" x14ac:dyDescent="0.2">
      <c r="A493" s="30"/>
      <c r="B493" s="41" t="s">
        <v>424</v>
      </c>
      <c r="C493" s="41"/>
      <c r="D493" s="41">
        <v>-12</v>
      </c>
      <c r="E493" s="90">
        <v>0.9</v>
      </c>
      <c r="F493" s="90"/>
      <c r="G493" s="90">
        <v>1.2</v>
      </c>
      <c r="H493" s="89">
        <f t="shared" si="85"/>
        <v>-12.96</v>
      </c>
      <c r="I493" s="89"/>
      <c r="J493" s="90"/>
      <c r="K493" s="157"/>
      <c r="L493" s="157"/>
      <c r="M493" s="158"/>
      <c r="O493" s="82">
        <f t="shared" si="77"/>
        <v>0</v>
      </c>
    </row>
    <row r="494" spans="1:15" ht="15.95" customHeight="1" x14ac:dyDescent="0.2">
      <c r="A494" s="30"/>
      <c r="B494" s="41" t="s">
        <v>481</v>
      </c>
      <c r="C494" s="41"/>
      <c r="D494" s="41">
        <v>-1</v>
      </c>
      <c r="E494" s="90">
        <v>0.9</v>
      </c>
      <c r="F494" s="90"/>
      <c r="G494" s="90">
        <v>2.4</v>
      </c>
      <c r="H494" s="89">
        <f t="shared" si="85"/>
        <v>-2.16</v>
      </c>
      <c r="I494" s="89"/>
      <c r="J494" s="108"/>
      <c r="K494" s="157"/>
      <c r="L494" s="157"/>
      <c r="M494" s="158"/>
      <c r="O494" s="82">
        <f t="shared" si="77"/>
        <v>0</v>
      </c>
    </row>
    <row r="495" spans="1:15" ht="15.95" customHeight="1" x14ac:dyDescent="0.2">
      <c r="A495" s="30"/>
      <c r="B495" s="46"/>
      <c r="C495" s="41"/>
      <c r="D495" s="41"/>
      <c r="E495" s="90"/>
      <c r="F495" s="90"/>
      <c r="G495" s="90"/>
      <c r="H495" s="89"/>
      <c r="I495" s="89"/>
      <c r="J495" s="108"/>
      <c r="K495" s="157"/>
      <c r="L495" s="157"/>
      <c r="M495" s="158"/>
      <c r="O495" s="82">
        <f t="shared" si="77"/>
        <v>0</v>
      </c>
    </row>
    <row r="496" spans="1:15" s="5" customFormat="1" ht="16.149999999999999" customHeight="1" x14ac:dyDescent="0.2">
      <c r="A496" s="30"/>
      <c r="B496" s="44" t="s">
        <v>495</v>
      </c>
      <c r="C496" s="41"/>
      <c r="D496" s="41">
        <v>2</v>
      </c>
      <c r="E496" s="109">
        <v>4</v>
      </c>
      <c r="F496" s="109"/>
      <c r="G496" s="109">
        <v>3.1</v>
      </c>
      <c r="H496" s="89">
        <f>PRODUCT(D496:G496)</f>
        <v>24.8</v>
      </c>
      <c r="I496" s="89"/>
      <c r="K496" s="157"/>
      <c r="L496" s="157"/>
      <c r="M496" s="158"/>
      <c r="O496" s="82">
        <f t="shared" si="77"/>
        <v>0</v>
      </c>
    </row>
    <row r="497" spans="1:15" s="5" customFormat="1" ht="16.149999999999999" customHeight="1" x14ac:dyDescent="0.2">
      <c r="A497" s="30"/>
      <c r="B497" s="44"/>
      <c r="C497" s="41"/>
      <c r="D497" s="41">
        <v>1</v>
      </c>
      <c r="E497" s="109">
        <v>3.4</v>
      </c>
      <c r="F497" s="109"/>
      <c r="G497" s="109">
        <v>3.1</v>
      </c>
      <c r="H497" s="89">
        <f t="shared" ref="H497:H498" si="86">PRODUCT(D497:G497)</f>
        <v>10.54</v>
      </c>
      <c r="I497" s="89"/>
      <c r="K497" s="157"/>
      <c r="L497" s="157"/>
      <c r="M497" s="158"/>
      <c r="O497" s="82">
        <f t="shared" si="77"/>
        <v>0</v>
      </c>
    </row>
    <row r="498" spans="1:15" s="5" customFormat="1" ht="16.149999999999999" customHeight="1" x14ac:dyDescent="0.2">
      <c r="A498" s="30"/>
      <c r="B498" s="44"/>
      <c r="C498" s="41"/>
      <c r="D498" s="41">
        <v>2</v>
      </c>
      <c r="E498" s="109">
        <v>2.5</v>
      </c>
      <c r="F498" s="109"/>
      <c r="G498" s="109">
        <v>3.1</v>
      </c>
      <c r="H498" s="89">
        <f t="shared" si="86"/>
        <v>15.5</v>
      </c>
      <c r="I498" s="89"/>
      <c r="K498" s="157"/>
      <c r="L498" s="157"/>
      <c r="M498" s="158"/>
      <c r="O498" s="82">
        <f t="shared" si="77"/>
        <v>0</v>
      </c>
    </row>
    <row r="499" spans="1:15" ht="15.95" customHeight="1" x14ac:dyDescent="0.2">
      <c r="A499" s="30"/>
      <c r="B499" s="46"/>
      <c r="C499" s="41"/>
      <c r="D499" s="41"/>
      <c r="E499" s="90"/>
      <c r="F499" s="90"/>
      <c r="G499" s="90"/>
      <c r="H499" s="89"/>
      <c r="I499" s="89"/>
      <c r="J499" s="108"/>
      <c r="K499" s="157"/>
      <c r="L499" s="157"/>
      <c r="M499" s="158"/>
      <c r="O499" s="82">
        <f t="shared" si="77"/>
        <v>0</v>
      </c>
    </row>
    <row r="500" spans="1:15" ht="15.95" customHeight="1" x14ac:dyDescent="0.2">
      <c r="A500" s="30"/>
      <c r="B500" s="46"/>
      <c r="C500" s="41"/>
      <c r="D500" s="41"/>
      <c r="E500" s="90"/>
      <c r="F500" s="90"/>
      <c r="G500" s="90"/>
      <c r="H500" s="89"/>
      <c r="I500" s="89"/>
      <c r="J500" s="108"/>
      <c r="K500" s="157"/>
      <c r="L500" s="157"/>
      <c r="M500" s="158"/>
      <c r="O500" s="82">
        <f t="shared" si="77"/>
        <v>0</v>
      </c>
    </row>
    <row r="501" spans="1:15" ht="15.95" customHeight="1" x14ac:dyDescent="0.2">
      <c r="A501" s="30"/>
      <c r="B501" s="105" t="s">
        <v>475</v>
      </c>
      <c r="C501" s="41"/>
      <c r="D501" s="41"/>
      <c r="E501" s="90"/>
      <c r="F501" s="90"/>
      <c r="G501" s="90"/>
      <c r="H501" s="89">
        <f t="shared" ref="H501" si="87">PRODUCT(D501:G501)</f>
        <v>0</v>
      </c>
      <c r="I501" s="89">
        <f t="shared" ref="I501" si="88">PRODUCT(E501:H501)</f>
        <v>0</v>
      </c>
      <c r="J501" s="90"/>
      <c r="K501" s="157"/>
      <c r="L501" s="157"/>
      <c r="M501" s="158"/>
      <c r="O501" s="82">
        <f t="shared" si="77"/>
        <v>0</v>
      </c>
    </row>
    <row r="502" spans="1:15" s="5" customFormat="1" ht="16.149999999999999" customHeight="1" x14ac:dyDescent="0.2">
      <c r="A502" s="30"/>
      <c r="B502" s="44" t="s">
        <v>494</v>
      </c>
      <c r="C502" s="41"/>
      <c r="D502" s="41">
        <v>4</v>
      </c>
      <c r="E502" s="109">
        <v>6.6</v>
      </c>
      <c r="F502" s="109"/>
      <c r="G502" s="109">
        <v>3.1</v>
      </c>
      <c r="H502" s="89">
        <f>PRODUCT(D502:G502)</f>
        <v>81.84</v>
      </c>
      <c r="I502" s="89"/>
      <c r="K502" s="157"/>
      <c r="L502" s="157"/>
      <c r="M502" s="158"/>
      <c r="O502" s="82">
        <f t="shared" si="77"/>
        <v>0</v>
      </c>
    </row>
    <row r="503" spans="1:15" s="5" customFormat="1" ht="16.149999999999999" customHeight="1" x14ac:dyDescent="0.2">
      <c r="A503" s="30"/>
      <c r="B503" s="44"/>
      <c r="C503" s="41"/>
      <c r="D503" s="41">
        <v>4</v>
      </c>
      <c r="E503" s="109">
        <v>8.6</v>
      </c>
      <c r="F503" s="109"/>
      <c r="G503" s="109">
        <v>3.1</v>
      </c>
      <c r="H503" s="89">
        <f t="shared" ref="H503:H511" si="89">PRODUCT(D503:G503)</f>
        <v>106.64</v>
      </c>
      <c r="I503" s="89"/>
      <c r="K503" s="157"/>
      <c r="L503" s="157"/>
      <c r="M503" s="158"/>
      <c r="O503" s="82">
        <f t="shared" si="77"/>
        <v>0</v>
      </c>
    </row>
    <row r="504" spans="1:15" s="5" customFormat="1" ht="16.149999999999999" customHeight="1" x14ac:dyDescent="0.2">
      <c r="A504" s="30"/>
      <c r="B504" s="44"/>
      <c r="C504" s="41"/>
      <c r="D504" s="41">
        <v>4</v>
      </c>
      <c r="E504" s="109">
        <v>0.6</v>
      </c>
      <c r="F504" s="109"/>
      <c r="G504" s="109">
        <v>3.1</v>
      </c>
      <c r="H504" s="89">
        <f t="shared" si="89"/>
        <v>7.4399999999999995</v>
      </c>
      <c r="I504" s="89"/>
      <c r="K504" s="157"/>
      <c r="L504" s="157"/>
      <c r="M504" s="158"/>
      <c r="O504" s="82">
        <f t="shared" si="77"/>
        <v>0</v>
      </c>
    </row>
    <row r="505" spans="1:15" s="5" customFormat="1" ht="16.149999999999999" customHeight="1" x14ac:dyDescent="0.2">
      <c r="A505" s="30"/>
      <c r="B505" s="110" t="s">
        <v>480</v>
      </c>
      <c r="C505" s="41"/>
      <c r="D505" s="41"/>
      <c r="E505" s="109"/>
      <c r="F505" s="109"/>
      <c r="G505" s="109"/>
      <c r="H505" s="89">
        <f t="shared" si="89"/>
        <v>0</v>
      </c>
      <c r="I505" s="89"/>
      <c r="K505" s="157"/>
      <c r="L505" s="157"/>
      <c r="M505" s="158"/>
      <c r="O505" s="82">
        <f t="shared" si="77"/>
        <v>0</v>
      </c>
    </row>
    <row r="506" spans="1:15" ht="15.95" customHeight="1" x14ac:dyDescent="0.2">
      <c r="A506" s="30"/>
      <c r="B506" s="41" t="s">
        <v>424</v>
      </c>
      <c r="C506" s="41"/>
      <c r="D506" s="41">
        <v>-12</v>
      </c>
      <c r="E506" s="90">
        <v>0.9</v>
      </c>
      <c r="F506" s="90"/>
      <c r="G506" s="90">
        <v>1.2</v>
      </c>
      <c r="H506" s="89">
        <f t="shared" si="89"/>
        <v>-12.96</v>
      </c>
      <c r="I506" s="89"/>
      <c r="J506" s="90"/>
      <c r="K506" s="157"/>
      <c r="L506" s="157"/>
      <c r="M506" s="158"/>
      <c r="O506" s="82">
        <f t="shared" si="77"/>
        <v>0</v>
      </c>
    </row>
    <row r="507" spans="1:15" ht="15.95" customHeight="1" x14ac:dyDescent="0.2">
      <c r="A507" s="30"/>
      <c r="B507" s="41" t="s">
        <v>481</v>
      </c>
      <c r="C507" s="41"/>
      <c r="D507" s="41">
        <v>-1</v>
      </c>
      <c r="E507" s="90">
        <v>0.9</v>
      </c>
      <c r="F507" s="90"/>
      <c r="G507" s="90">
        <v>2.4</v>
      </c>
      <c r="H507" s="89">
        <f t="shared" si="89"/>
        <v>-2.16</v>
      </c>
      <c r="I507" s="89"/>
      <c r="J507" s="108"/>
      <c r="K507" s="157"/>
      <c r="L507" s="157"/>
      <c r="M507" s="158"/>
      <c r="O507" s="82">
        <f t="shared" si="77"/>
        <v>0</v>
      </c>
    </row>
    <row r="508" spans="1:15" ht="15.95" customHeight="1" x14ac:dyDescent="0.2">
      <c r="A508" s="30"/>
      <c r="B508" s="46"/>
      <c r="C508" s="41"/>
      <c r="D508" s="41"/>
      <c r="E508" s="90"/>
      <c r="F508" s="90"/>
      <c r="G508" s="90"/>
      <c r="H508" s="89">
        <f t="shared" si="89"/>
        <v>0</v>
      </c>
      <c r="I508" s="89"/>
      <c r="J508" s="108"/>
      <c r="K508" s="157"/>
      <c r="L508" s="157"/>
      <c r="M508" s="158"/>
      <c r="O508" s="82">
        <f t="shared" si="77"/>
        <v>0</v>
      </c>
    </row>
    <row r="509" spans="1:15" s="5" customFormat="1" ht="16.149999999999999" customHeight="1" x14ac:dyDescent="0.2">
      <c r="A509" s="30"/>
      <c r="B509" s="44" t="s">
        <v>495</v>
      </c>
      <c r="C509" s="41"/>
      <c r="D509" s="41">
        <v>2</v>
      </c>
      <c r="E509" s="109">
        <v>4</v>
      </c>
      <c r="F509" s="109"/>
      <c r="G509" s="109">
        <v>3.1</v>
      </c>
      <c r="H509" s="89">
        <f t="shared" si="89"/>
        <v>24.8</v>
      </c>
      <c r="I509" s="89"/>
      <c r="K509" s="157"/>
      <c r="L509" s="157"/>
      <c r="M509" s="158"/>
      <c r="O509" s="82">
        <f t="shared" si="77"/>
        <v>0</v>
      </c>
    </row>
    <row r="510" spans="1:15" s="5" customFormat="1" ht="16.149999999999999" customHeight="1" x14ac:dyDescent="0.2">
      <c r="A510" s="30"/>
      <c r="B510" s="44"/>
      <c r="C510" s="41"/>
      <c r="D510" s="41">
        <v>1</v>
      </c>
      <c r="E510" s="109">
        <v>3.4</v>
      </c>
      <c r="F510" s="109"/>
      <c r="G510" s="109">
        <v>3.1</v>
      </c>
      <c r="H510" s="89">
        <f t="shared" si="89"/>
        <v>10.54</v>
      </c>
      <c r="I510" s="89"/>
      <c r="K510" s="157"/>
      <c r="L510" s="157"/>
      <c r="M510" s="158"/>
      <c r="O510" s="82">
        <f t="shared" si="77"/>
        <v>0</v>
      </c>
    </row>
    <row r="511" spans="1:15" s="5" customFormat="1" ht="16.149999999999999" customHeight="1" x14ac:dyDescent="0.2">
      <c r="A511" s="30"/>
      <c r="B511" s="44"/>
      <c r="C511" s="41"/>
      <c r="D511" s="41">
        <v>2</v>
      </c>
      <c r="E511" s="109">
        <v>2.5</v>
      </c>
      <c r="F511" s="109"/>
      <c r="G511" s="109">
        <v>3.1</v>
      </c>
      <c r="H511" s="89">
        <f t="shared" si="89"/>
        <v>15.5</v>
      </c>
      <c r="I511" s="89"/>
      <c r="K511" s="157"/>
      <c r="L511" s="157"/>
      <c r="M511" s="158"/>
      <c r="O511" s="82">
        <f t="shared" si="77"/>
        <v>0</v>
      </c>
    </row>
    <row r="512" spans="1:15" ht="15.95" customHeight="1" x14ac:dyDescent="0.2">
      <c r="A512" s="30"/>
      <c r="B512" s="46"/>
      <c r="C512" s="41"/>
      <c r="D512" s="41"/>
      <c r="E512" s="90"/>
      <c r="F512" s="90"/>
      <c r="G512" s="90"/>
      <c r="H512" s="89"/>
      <c r="I512" s="89">
        <f>SUM(H488:H511)</f>
        <v>463.28000000000003</v>
      </c>
      <c r="J512" s="108"/>
      <c r="K512" s="157"/>
      <c r="L512" s="157"/>
      <c r="M512" s="158"/>
      <c r="O512" s="82">
        <f t="shared" si="77"/>
        <v>0</v>
      </c>
    </row>
    <row r="513" spans="1:15" ht="15.95" customHeight="1" x14ac:dyDescent="0.2">
      <c r="A513" s="30"/>
      <c r="B513" s="46"/>
      <c r="C513" s="41"/>
      <c r="D513" s="41"/>
      <c r="E513" s="90"/>
      <c r="F513" s="90"/>
      <c r="G513" s="90"/>
      <c r="H513" s="89"/>
      <c r="I513" s="89">
        <f t="shared" ref="I513" si="90">PRODUCT(E513:H513)</f>
        <v>0</v>
      </c>
      <c r="J513" s="90"/>
      <c r="K513" s="157"/>
      <c r="L513" s="157"/>
      <c r="M513" s="158"/>
      <c r="O513" s="82">
        <f t="shared" si="77"/>
        <v>0</v>
      </c>
    </row>
    <row r="514" spans="1:15" s="5" customFormat="1" ht="16.149999999999999" customHeight="1" x14ac:dyDescent="0.2">
      <c r="A514" s="30"/>
      <c r="B514" s="98" t="s">
        <v>465</v>
      </c>
      <c r="C514" s="32"/>
      <c r="D514" s="32"/>
      <c r="E514" s="89"/>
      <c r="F514" s="89"/>
      <c r="G514" s="89"/>
      <c r="H514" s="89">
        <f t="shared" ref="H514:H525" si="91">PRODUCT(D514:G514)</f>
        <v>0</v>
      </c>
      <c r="I514" s="89"/>
      <c r="J514" s="89"/>
      <c r="K514" s="157"/>
      <c r="L514" s="157"/>
      <c r="M514" s="158"/>
      <c r="O514" s="82">
        <f t="shared" si="77"/>
        <v>0</v>
      </c>
    </row>
    <row r="515" spans="1:15" s="5" customFormat="1" ht="16.149999999999999" customHeight="1" x14ac:dyDescent="0.2">
      <c r="A515" s="30"/>
      <c r="B515" s="44" t="s">
        <v>485</v>
      </c>
      <c r="C515" s="41"/>
      <c r="D515" s="41">
        <v>2</v>
      </c>
      <c r="E515" s="109">
        <v>5.0999999999999996</v>
      </c>
      <c r="F515" s="109"/>
      <c r="G515" s="109">
        <v>3.1</v>
      </c>
      <c r="H515" s="89">
        <f t="shared" si="91"/>
        <v>31.619999999999997</v>
      </c>
      <c r="I515" s="89"/>
      <c r="K515" s="157"/>
      <c r="L515" s="157"/>
      <c r="M515" s="158"/>
      <c r="O515" s="82">
        <f t="shared" si="77"/>
        <v>0</v>
      </c>
    </row>
    <row r="516" spans="1:15" ht="15.95" customHeight="1" x14ac:dyDescent="0.2">
      <c r="A516" s="30"/>
      <c r="B516" s="46"/>
      <c r="C516" s="41"/>
      <c r="D516" s="41">
        <v>2</v>
      </c>
      <c r="E516" s="90">
        <v>3.1</v>
      </c>
      <c r="F516" s="90"/>
      <c r="G516" s="109">
        <v>3.1</v>
      </c>
      <c r="H516" s="89">
        <f t="shared" si="91"/>
        <v>19.220000000000002</v>
      </c>
      <c r="I516" s="90"/>
      <c r="J516" s="90"/>
      <c r="K516" s="157"/>
      <c r="L516" s="157"/>
      <c r="M516" s="158"/>
      <c r="O516" s="82">
        <f t="shared" si="77"/>
        <v>0</v>
      </c>
    </row>
    <row r="517" spans="1:15" s="5" customFormat="1" ht="16.149999999999999" customHeight="1" x14ac:dyDescent="0.2">
      <c r="A517" s="30"/>
      <c r="B517" s="110" t="s">
        <v>480</v>
      </c>
      <c r="C517" s="41"/>
      <c r="D517" s="41"/>
      <c r="E517" s="109"/>
      <c r="F517" s="109"/>
      <c r="G517" s="109"/>
      <c r="H517" s="89">
        <f t="shared" si="91"/>
        <v>0</v>
      </c>
      <c r="I517" s="89"/>
      <c r="K517" s="157"/>
      <c r="L517" s="157"/>
      <c r="M517" s="158"/>
      <c r="O517" s="82">
        <f t="shared" si="77"/>
        <v>0</v>
      </c>
    </row>
    <row r="518" spans="1:15" ht="15.95" customHeight="1" x14ac:dyDescent="0.2">
      <c r="A518" s="30"/>
      <c r="B518" s="41" t="s">
        <v>424</v>
      </c>
      <c r="C518" s="41"/>
      <c r="D518" s="41">
        <v>-1</v>
      </c>
      <c r="E518" s="90">
        <v>0.9</v>
      </c>
      <c r="F518" s="90"/>
      <c r="G518" s="90">
        <v>1.2</v>
      </c>
      <c r="H518" s="89">
        <f t="shared" si="91"/>
        <v>-1.08</v>
      </c>
      <c r="I518" s="89"/>
      <c r="J518" s="90"/>
      <c r="K518" s="157"/>
      <c r="L518" s="157"/>
      <c r="M518" s="158"/>
      <c r="O518" s="82">
        <f t="shared" ref="O518:O581" si="92">K518-J518</f>
        <v>0</v>
      </c>
    </row>
    <row r="519" spans="1:15" ht="15.95" customHeight="1" x14ac:dyDescent="0.2">
      <c r="A519" s="30"/>
      <c r="B519" s="41" t="s">
        <v>481</v>
      </c>
      <c r="C519" s="41"/>
      <c r="D519" s="41">
        <v>-1</v>
      </c>
      <c r="E519" s="90">
        <v>0.9</v>
      </c>
      <c r="F519" s="90"/>
      <c r="G519" s="90">
        <v>2.2000000000000002</v>
      </c>
      <c r="H519" s="89">
        <f t="shared" si="91"/>
        <v>-1.9800000000000002</v>
      </c>
      <c r="I519" s="89"/>
      <c r="J519" s="108"/>
      <c r="K519" s="157"/>
      <c r="L519" s="157"/>
      <c r="M519" s="158"/>
      <c r="O519" s="82">
        <f t="shared" si="92"/>
        <v>0</v>
      </c>
    </row>
    <row r="520" spans="1:15" ht="15.95" customHeight="1" x14ac:dyDescent="0.2">
      <c r="A520" s="30"/>
      <c r="B520" s="41"/>
      <c r="C520" s="41"/>
      <c r="D520" s="41"/>
      <c r="E520" s="90"/>
      <c r="F520" s="90"/>
      <c r="G520" s="90"/>
      <c r="H520" s="89"/>
      <c r="I520" s="89"/>
      <c r="J520" s="108"/>
      <c r="K520" s="157"/>
      <c r="L520" s="157"/>
      <c r="M520" s="158"/>
      <c r="O520" s="82">
        <f t="shared" si="92"/>
        <v>0</v>
      </c>
    </row>
    <row r="521" spans="1:15" s="5" customFormat="1" ht="16.149999999999999" customHeight="1" x14ac:dyDescent="0.2">
      <c r="A521" s="30"/>
      <c r="B521" s="44" t="s">
        <v>486</v>
      </c>
      <c r="C521" s="41"/>
      <c r="D521" s="41">
        <v>2</v>
      </c>
      <c r="E521" s="109">
        <v>5.0999999999999996</v>
      </c>
      <c r="F521" s="109"/>
      <c r="G521" s="109">
        <v>3.1</v>
      </c>
      <c r="H521" s="89">
        <f t="shared" si="91"/>
        <v>31.619999999999997</v>
      </c>
      <c r="I521" s="89"/>
      <c r="K521" s="157"/>
      <c r="L521" s="157"/>
      <c r="M521" s="158"/>
      <c r="O521" s="82">
        <f t="shared" si="92"/>
        <v>0</v>
      </c>
    </row>
    <row r="522" spans="1:15" ht="15.95" customHeight="1" x14ac:dyDescent="0.2">
      <c r="A522" s="30"/>
      <c r="B522" s="46"/>
      <c r="C522" s="41"/>
      <c r="D522" s="41">
        <v>2</v>
      </c>
      <c r="E522" s="90">
        <v>7.1</v>
      </c>
      <c r="F522" s="90"/>
      <c r="G522" s="109">
        <v>3.1</v>
      </c>
      <c r="H522" s="89">
        <f t="shared" si="91"/>
        <v>44.019999999999996</v>
      </c>
      <c r="I522" s="90"/>
      <c r="J522" s="90"/>
      <c r="K522" s="157"/>
      <c r="L522" s="157"/>
      <c r="M522" s="158"/>
      <c r="O522" s="82">
        <f t="shared" si="92"/>
        <v>0</v>
      </c>
    </row>
    <row r="523" spans="1:15" s="5" customFormat="1" ht="16.149999999999999" customHeight="1" x14ac:dyDescent="0.2">
      <c r="A523" s="30"/>
      <c r="B523" s="110" t="s">
        <v>480</v>
      </c>
      <c r="C523" s="41"/>
      <c r="D523" s="41"/>
      <c r="E523" s="109"/>
      <c r="F523" s="109"/>
      <c r="G523" s="109"/>
      <c r="H523" s="89">
        <f t="shared" si="91"/>
        <v>0</v>
      </c>
      <c r="I523" s="89"/>
      <c r="K523" s="157"/>
      <c r="L523" s="157"/>
      <c r="M523" s="158"/>
      <c r="O523" s="82">
        <f t="shared" si="92"/>
        <v>0</v>
      </c>
    </row>
    <row r="524" spans="1:15" ht="15.95" customHeight="1" x14ac:dyDescent="0.2">
      <c r="A524" s="30"/>
      <c r="B524" s="41" t="s">
        <v>424</v>
      </c>
      <c r="C524" s="41"/>
      <c r="D524" s="41">
        <v>-2</v>
      </c>
      <c r="E524" s="90">
        <v>0.9</v>
      </c>
      <c r="F524" s="90"/>
      <c r="G524" s="90">
        <v>1.2</v>
      </c>
      <c r="H524" s="89">
        <f t="shared" si="91"/>
        <v>-2.16</v>
      </c>
      <c r="I524" s="89"/>
      <c r="J524" s="90"/>
      <c r="K524" s="157"/>
      <c r="L524" s="157"/>
      <c r="M524" s="158"/>
      <c r="O524" s="82">
        <f t="shared" si="92"/>
        <v>0</v>
      </c>
    </row>
    <row r="525" spans="1:15" ht="15.95" customHeight="1" x14ac:dyDescent="0.2">
      <c r="A525" s="30"/>
      <c r="B525" s="41" t="s">
        <v>481</v>
      </c>
      <c r="C525" s="41"/>
      <c r="D525" s="41">
        <v>-1</v>
      </c>
      <c r="E525" s="90">
        <v>1.8</v>
      </c>
      <c r="F525" s="90"/>
      <c r="G525" s="90">
        <v>2.2000000000000002</v>
      </c>
      <c r="H525" s="89">
        <f t="shared" si="91"/>
        <v>-3.9600000000000004</v>
      </c>
      <c r="I525" s="89"/>
      <c r="J525" s="108"/>
      <c r="K525" s="157"/>
      <c r="L525" s="157"/>
      <c r="M525" s="158"/>
      <c r="O525" s="82">
        <f t="shared" si="92"/>
        <v>0</v>
      </c>
    </row>
    <row r="526" spans="1:15" ht="15.95" customHeight="1" x14ac:dyDescent="0.2">
      <c r="A526" s="30"/>
      <c r="B526" s="46"/>
      <c r="C526" s="41"/>
      <c r="D526" s="41"/>
      <c r="E526" s="90"/>
      <c r="F526" s="90"/>
      <c r="G526" s="90"/>
      <c r="H526" s="89"/>
      <c r="I526" s="90"/>
      <c r="J526" s="90"/>
      <c r="K526" s="157"/>
      <c r="L526" s="157"/>
      <c r="M526" s="158"/>
      <c r="O526" s="82">
        <f t="shared" si="92"/>
        <v>0</v>
      </c>
    </row>
    <row r="527" spans="1:15" s="5" customFormat="1" ht="16.149999999999999" customHeight="1" x14ac:dyDescent="0.2">
      <c r="A527" s="30"/>
      <c r="B527" s="44" t="s">
        <v>487</v>
      </c>
      <c r="C527" s="41"/>
      <c r="D527" s="41">
        <v>4</v>
      </c>
      <c r="E527" s="109">
        <v>2.1</v>
      </c>
      <c r="F527" s="109"/>
      <c r="G527" s="109">
        <f>3.1-2.3</f>
        <v>0.80000000000000027</v>
      </c>
      <c r="H527" s="89">
        <f t="shared" ref="H527:H528" si="93">PRODUCT(D527:G527)</f>
        <v>6.7200000000000024</v>
      </c>
      <c r="I527" s="89"/>
      <c r="K527" s="157"/>
      <c r="L527" s="157"/>
      <c r="M527" s="158"/>
      <c r="O527" s="82">
        <f t="shared" si="92"/>
        <v>0</v>
      </c>
    </row>
    <row r="528" spans="1:15" ht="15.95" customHeight="1" x14ac:dyDescent="0.2">
      <c r="A528" s="30"/>
      <c r="B528" s="46"/>
      <c r="C528" s="41"/>
      <c r="D528" s="41">
        <v>4</v>
      </c>
      <c r="E528" s="90">
        <v>1.9</v>
      </c>
      <c r="F528" s="90"/>
      <c r="G528" s="109">
        <f>3.1-2.3</f>
        <v>0.80000000000000027</v>
      </c>
      <c r="H528" s="89">
        <f t="shared" si="93"/>
        <v>6.0800000000000018</v>
      </c>
      <c r="I528" s="90"/>
      <c r="J528" s="90"/>
      <c r="K528" s="157"/>
      <c r="L528" s="157"/>
      <c r="M528" s="158"/>
      <c r="O528" s="82">
        <f t="shared" si="92"/>
        <v>0</v>
      </c>
    </row>
    <row r="529" spans="1:15" ht="15.95" customHeight="1" x14ac:dyDescent="0.2">
      <c r="A529" s="30"/>
      <c r="B529" s="46"/>
      <c r="C529" s="41"/>
      <c r="D529" s="41"/>
      <c r="E529" s="90"/>
      <c r="F529" s="90"/>
      <c r="G529" s="90"/>
      <c r="H529" s="89"/>
      <c r="I529" s="90"/>
      <c r="J529" s="90"/>
      <c r="K529" s="157"/>
      <c r="L529" s="157"/>
      <c r="M529" s="158"/>
      <c r="O529" s="82">
        <f t="shared" si="92"/>
        <v>0</v>
      </c>
    </row>
    <row r="530" spans="1:15" s="5" customFormat="1" ht="16.149999999999999" customHeight="1" x14ac:dyDescent="0.2">
      <c r="A530" s="30"/>
      <c r="B530" s="44" t="s">
        <v>488</v>
      </c>
      <c r="C530" s="41"/>
      <c r="D530" s="41">
        <v>2</v>
      </c>
      <c r="E530" s="109">
        <v>4.8</v>
      </c>
      <c r="F530" s="109"/>
      <c r="G530" s="109">
        <v>3.1</v>
      </c>
      <c r="H530" s="89">
        <f t="shared" ref="H530:H545" si="94">PRODUCT(D530:G530)</f>
        <v>29.759999999999998</v>
      </c>
      <c r="I530" s="89"/>
      <c r="K530" s="157"/>
      <c r="L530" s="157"/>
      <c r="M530" s="158"/>
      <c r="O530" s="82">
        <f t="shared" si="92"/>
        <v>0</v>
      </c>
    </row>
    <row r="531" spans="1:15" ht="15.95" customHeight="1" x14ac:dyDescent="0.2">
      <c r="A531" s="30"/>
      <c r="B531" s="46"/>
      <c r="C531" s="41"/>
      <c r="D531" s="41">
        <v>2</v>
      </c>
      <c r="E531" s="90">
        <v>2.5</v>
      </c>
      <c r="F531" s="90"/>
      <c r="G531" s="109">
        <v>3.1</v>
      </c>
      <c r="H531" s="89">
        <f t="shared" si="94"/>
        <v>15.5</v>
      </c>
      <c r="I531" s="90"/>
      <c r="J531" s="90"/>
      <c r="K531" s="157"/>
      <c r="L531" s="157"/>
      <c r="M531" s="158"/>
      <c r="O531" s="82">
        <f t="shared" si="92"/>
        <v>0</v>
      </c>
    </row>
    <row r="532" spans="1:15" s="5" customFormat="1" ht="16.149999999999999" customHeight="1" x14ac:dyDescent="0.2">
      <c r="A532" s="30"/>
      <c r="B532" s="110" t="s">
        <v>480</v>
      </c>
      <c r="C532" s="41"/>
      <c r="D532" s="41"/>
      <c r="E532" s="109"/>
      <c r="F532" s="109"/>
      <c r="G532" s="109"/>
      <c r="H532" s="89">
        <f t="shared" si="94"/>
        <v>0</v>
      </c>
      <c r="I532" s="89"/>
      <c r="K532" s="157"/>
      <c r="L532" s="157"/>
      <c r="M532" s="158"/>
      <c r="O532" s="82">
        <f t="shared" si="92"/>
        <v>0</v>
      </c>
    </row>
    <row r="533" spans="1:15" ht="15.95" customHeight="1" x14ac:dyDescent="0.2">
      <c r="A533" s="30"/>
      <c r="B533" s="41" t="s">
        <v>424</v>
      </c>
      <c r="C533" s="41"/>
      <c r="D533" s="41">
        <v>-1</v>
      </c>
      <c r="E533" s="90">
        <v>0.9</v>
      </c>
      <c r="F533" s="90"/>
      <c r="G533" s="90">
        <v>1.2</v>
      </c>
      <c r="H533" s="89">
        <f t="shared" si="94"/>
        <v>-1.08</v>
      </c>
      <c r="I533" s="89"/>
      <c r="J533" s="90"/>
      <c r="K533" s="157"/>
      <c r="L533" s="157"/>
      <c r="M533" s="158"/>
      <c r="O533" s="82">
        <f t="shared" si="92"/>
        <v>0</v>
      </c>
    </row>
    <row r="534" spans="1:15" ht="15.95" customHeight="1" x14ac:dyDescent="0.2">
      <c r="A534" s="30"/>
      <c r="B534" s="41" t="s">
        <v>481</v>
      </c>
      <c r="C534" s="41"/>
      <c r="D534" s="41">
        <v>-2</v>
      </c>
      <c r="E534" s="90">
        <v>0.9</v>
      </c>
      <c r="F534" s="90"/>
      <c r="G534" s="90">
        <v>2.2000000000000002</v>
      </c>
      <c r="H534" s="89">
        <f t="shared" si="94"/>
        <v>-3.9600000000000004</v>
      </c>
      <c r="I534" s="89"/>
      <c r="J534" s="108"/>
      <c r="K534" s="157"/>
      <c r="L534" s="157"/>
      <c r="M534" s="158"/>
      <c r="O534" s="82">
        <f t="shared" si="92"/>
        <v>0</v>
      </c>
    </row>
    <row r="535" spans="1:15" ht="15.95" customHeight="1" x14ac:dyDescent="0.2">
      <c r="A535" s="30"/>
      <c r="B535" s="41"/>
      <c r="C535" s="41"/>
      <c r="D535" s="41"/>
      <c r="E535" s="90"/>
      <c r="F535" s="90"/>
      <c r="G535" s="90"/>
      <c r="H535" s="89"/>
      <c r="I535" s="89"/>
      <c r="J535" s="108"/>
      <c r="K535" s="157"/>
      <c r="L535" s="157"/>
      <c r="M535" s="158"/>
      <c r="O535" s="82">
        <f t="shared" si="92"/>
        <v>0</v>
      </c>
    </row>
    <row r="536" spans="1:15" s="5" customFormat="1" ht="16.149999999999999" customHeight="1" x14ac:dyDescent="0.2">
      <c r="A536" s="30"/>
      <c r="B536" s="44" t="s">
        <v>479</v>
      </c>
      <c r="C536" s="41"/>
      <c r="D536" s="41">
        <v>2</v>
      </c>
      <c r="E536" s="109">
        <v>4.3</v>
      </c>
      <c r="F536" s="109"/>
      <c r="G536" s="109">
        <f>3+0.1+0.25-0.45</f>
        <v>2.9</v>
      </c>
      <c r="H536" s="89">
        <f t="shared" si="94"/>
        <v>24.939999999999998</v>
      </c>
      <c r="I536" s="89"/>
      <c r="K536" s="157"/>
      <c r="L536" s="157"/>
      <c r="M536" s="158"/>
      <c r="O536" s="82">
        <f t="shared" si="92"/>
        <v>0</v>
      </c>
    </row>
    <row r="537" spans="1:15" ht="15.95" customHeight="1" x14ac:dyDescent="0.2">
      <c r="A537" s="30"/>
      <c r="B537" s="46"/>
      <c r="C537" s="41"/>
      <c r="D537" s="41">
        <v>2</v>
      </c>
      <c r="E537" s="90">
        <v>2.9</v>
      </c>
      <c r="F537" s="90"/>
      <c r="G537" s="109">
        <f>3+0.1+0.25-0.45</f>
        <v>2.9</v>
      </c>
      <c r="H537" s="89">
        <f t="shared" si="94"/>
        <v>16.82</v>
      </c>
      <c r="I537" s="90"/>
      <c r="J537" s="90"/>
      <c r="K537" s="157"/>
      <c r="L537" s="157"/>
      <c r="M537" s="158"/>
      <c r="O537" s="82">
        <f t="shared" si="92"/>
        <v>0</v>
      </c>
    </row>
    <row r="538" spans="1:15" s="5" customFormat="1" ht="16.149999999999999" customHeight="1" x14ac:dyDescent="0.2">
      <c r="A538" s="30"/>
      <c r="B538" s="110" t="s">
        <v>480</v>
      </c>
      <c r="C538" s="41"/>
      <c r="D538" s="41"/>
      <c r="E538" s="109"/>
      <c r="F538" s="109"/>
      <c r="G538" s="109"/>
      <c r="H538" s="89">
        <f t="shared" si="94"/>
        <v>0</v>
      </c>
      <c r="I538" s="89"/>
      <c r="K538" s="157"/>
      <c r="L538" s="157"/>
      <c r="M538" s="158"/>
      <c r="O538" s="82">
        <f t="shared" si="92"/>
        <v>0</v>
      </c>
    </row>
    <row r="539" spans="1:15" ht="15.95" customHeight="1" x14ac:dyDescent="0.2">
      <c r="A539" s="30"/>
      <c r="B539" s="41" t="s">
        <v>424</v>
      </c>
      <c r="C539" s="41"/>
      <c r="D539" s="41">
        <v>-1</v>
      </c>
      <c r="E539" s="90">
        <v>0.9</v>
      </c>
      <c r="F539" s="90"/>
      <c r="G539" s="90">
        <v>1.2</v>
      </c>
      <c r="H539" s="89">
        <f t="shared" si="94"/>
        <v>-1.08</v>
      </c>
      <c r="I539" s="89"/>
      <c r="J539" s="90"/>
      <c r="K539" s="157"/>
      <c r="L539" s="157"/>
      <c r="M539" s="158"/>
      <c r="O539" s="82">
        <f t="shared" si="92"/>
        <v>0</v>
      </c>
    </row>
    <row r="540" spans="1:15" ht="15.95" customHeight="1" x14ac:dyDescent="0.2">
      <c r="A540" s="30"/>
      <c r="B540" s="41" t="s">
        <v>481</v>
      </c>
      <c r="C540" s="41"/>
      <c r="D540" s="41">
        <v>-1</v>
      </c>
      <c r="E540" s="90">
        <v>0.9</v>
      </c>
      <c r="F540" s="90"/>
      <c r="G540" s="90">
        <v>2.2000000000000002</v>
      </c>
      <c r="H540" s="89">
        <f t="shared" si="94"/>
        <v>-1.9800000000000002</v>
      </c>
      <c r="I540" s="89"/>
      <c r="J540" s="108"/>
      <c r="K540" s="157"/>
      <c r="L540" s="157"/>
      <c r="M540" s="158"/>
      <c r="O540" s="82">
        <f t="shared" si="92"/>
        <v>0</v>
      </c>
    </row>
    <row r="541" spans="1:15" ht="15.95" customHeight="1" x14ac:dyDescent="0.2">
      <c r="A541" s="30"/>
      <c r="B541" s="41"/>
      <c r="C541" s="41"/>
      <c r="D541" s="41"/>
      <c r="E541" s="90"/>
      <c r="F541" s="90"/>
      <c r="G541" s="90"/>
      <c r="H541" s="89"/>
      <c r="I541" s="89"/>
      <c r="J541" s="108"/>
      <c r="K541" s="157"/>
      <c r="L541" s="157"/>
      <c r="M541" s="158"/>
      <c r="O541" s="82">
        <f t="shared" si="92"/>
        <v>0</v>
      </c>
    </row>
    <row r="542" spans="1:15" s="5" customFormat="1" ht="16.149999999999999" customHeight="1" x14ac:dyDescent="0.2">
      <c r="A542" s="30"/>
      <c r="B542" s="44" t="s">
        <v>496</v>
      </c>
      <c r="C542" s="41"/>
      <c r="D542" s="41">
        <v>2</v>
      </c>
      <c r="E542" s="109">
        <v>7.1</v>
      </c>
      <c r="F542" s="109"/>
      <c r="G542" s="109">
        <v>3.1</v>
      </c>
      <c r="H542" s="89">
        <f t="shared" si="94"/>
        <v>44.019999999999996</v>
      </c>
      <c r="I542" s="89"/>
      <c r="K542" s="157"/>
      <c r="L542" s="157"/>
      <c r="M542" s="158"/>
      <c r="O542" s="82">
        <f t="shared" si="92"/>
        <v>0</v>
      </c>
    </row>
    <row r="543" spans="1:15" s="5" customFormat="1" ht="16.149999999999999" customHeight="1" x14ac:dyDescent="0.2">
      <c r="A543" s="30"/>
      <c r="B543" s="44"/>
      <c r="C543" s="41"/>
      <c r="D543" s="41">
        <v>2</v>
      </c>
      <c r="E543" s="109">
        <v>7</v>
      </c>
      <c r="F543" s="109"/>
      <c r="G543" s="109">
        <v>3.1</v>
      </c>
      <c r="H543" s="89">
        <f t="shared" si="94"/>
        <v>43.4</v>
      </c>
      <c r="I543" s="89"/>
      <c r="K543" s="157"/>
      <c r="L543" s="157"/>
      <c r="M543" s="158"/>
      <c r="O543" s="82">
        <f t="shared" si="92"/>
        <v>0</v>
      </c>
    </row>
    <row r="544" spans="1:15" s="5" customFormat="1" ht="16.149999999999999" customHeight="1" x14ac:dyDescent="0.2">
      <c r="A544" s="30"/>
      <c r="B544" s="110" t="s">
        <v>480</v>
      </c>
      <c r="C544" s="41"/>
      <c r="D544" s="41"/>
      <c r="E544" s="109"/>
      <c r="F544" s="109"/>
      <c r="G544" s="109"/>
      <c r="H544" s="89"/>
      <c r="I544" s="89"/>
      <c r="K544" s="157"/>
      <c r="L544" s="157"/>
      <c r="M544" s="158"/>
      <c r="O544" s="82">
        <f t="shared" si="92"/>
        <v>0</v>
      </c>
    </row>
    <row r="545" spans="1:15" ht="15.95" customHeight="1" x14ac:dyDescent="0.2">
      <c r="A545" s="30"/>
      <c r="B545" s="41" t="s">
        <v>481</v>
      </c>
      <c r="C545" s="41"/>
      <c r="D545" s="41">
        <v>-1</v>
      </c>
      <c r="E545" s="90">
        <v>2</v>
      </c>
      <c r="F545" s="90"/>
      <c r="G545" s="90">
        <v>2.2000000000000002</v>
      </c>
      <c r="H545" s="89">
        <f t="shared" si="94"/>
        <v>-4.4000000000000004</v>
      </c>
      <c r="I545" s="89"/>
      <c r="J545" s="108"/>
      <c r="K545" s="157"/>
      <c r="L545" s="157"/>
      <c r="M545" s="158"/>
      <c r="O545" s="82">
        <f t="shared" si="92"/>
        <v>0</v>
      </c>
    </row>
    <row r="546" spans="1:15" ht="15.95" customHeight="1" x14ac:dyDescent="0.2">
      <c r="A546" s="30"/>
      <c r="B546" s="41" t="s">
        <v>481</v>
      </c>
      <c r="C546" s="41"/>
      <c r="D546" s="41">
        <v>-1</v>
      </c>
      <c r="E546" s="90">
        <v>1.8</v>
      </c>
      <c r="F546" s="90"/>
      <c r="G546" s="90">
        <v>2.2000000000000002</v>
      </c>
      <c r="H546" s="89">
        <f t="shared" ref="H546:H548" si="95">PRODUCT(D546:G546)</f>
        <v>-3.9600000000000004</v>
      </c>
      <c r="I546" s="89"/>
      <c r="J546" s="108"/>
      <c r="K546" s="157"/>
      <c r="L546" s="157"/>
      <c r="M546" s="158"/>
      <c r="O546" s="82">
        <f t="shared" si="92"/>
        <v>0</v>
      </c>
    </row>
    <row r="547" spans="1:15" ht="15.95" customHeight="1" x14ac:dyDescent="0.2">
      <c r="A547" s="30"/>
      <c r="B547" s="41" t="s">
        <v>481</v>
      </c>
      <c r="C547" s="41"/>
      <c r="D547" s="41">
        <v>-3</v>
      </c>
      <c r="E547" s="90">
        <v>0.9</v>
      </c>
      <c r="F547" s="90"/>
      <c r="G547" s="90">
        <v>2.2000000000000002</v>
      </c>
      <c r="H547" s="89">
        <f t="shared" si="95"/>
        <v>-5.9400000000000013</v>
      </c>
      <c r="I547" s="89"/>
      <c r="J547" s="108"/>
      <c r="K547" s="157"/>
      <c r="L547" s="157"/>
      <c r="M547" s="158"/>
      <c r="O547" s="82">
        <f t="shared" si="92"/>
        <v>0</v>
      </c>
    </row>
    <row r="548" spans="1:15" ht="15.95" customHeight="1" x14ac:dyDescent="0.2">
      <c r="A548" s="30"/>
      <c r="B548" s="41"/>
      <c r="C548" s="41"/>
      <c r="D548" s="41">
        <v>-2</v>
      </c>
      <c r="E548" s="90">
        <v>0.8</v>
      </c>
      <c r="F548" s="90"/>
      <c r="G548" s="90">
        <v>2.2000000000000002</v>
      </c>
      <c r="H548" s="89">
        <f t="shared" si="95"/>
        <v>-3.5200000000000005</v>
      </c>
      <c r="I548" s="89"/>
      <c r="J548" s="108"/>
      <c r="K548" s="157"/>
      <c r="L548" s="157"/>
      <c r="M548" s="158"/>
      <c r="O548" s="82">
        <f t="shared" si="92"/>
        <v>0</v>
      </c>
    </row>
    <row r="549" spans="1:15" ht="15.95" customHeight="1" x14ac:dyDescent="0.2">
      <c r="A549" s="30"/>
      <c r="B549" s="46"/>
      <c r="C549" s="41"/>
      <c r="D549" s="41"/>
      <c r="E549" s="90"/>
      <c r="F549" s="90"/>
      <c r="G549" s="90"/>
      <c r="H549" s="89"/>
      <c r="I549" s="90">
        <f>SUM(H514:H549)</f>
        <v>278.62</v>
      </c>
      <c r="J549" s="90"/>
      <c r="K549" s="157"/>
      <c r="L549" s="157"/>
      <c r="M549" s="158"/>
      <c r="O549" s="82">
        <f t="shared" si="92"/>
        <v>0</v>
      </c>
    </row>
    <row r="550" spans="1:15" ht="15.95" customHeight="1" x14ac:dyDescent="0.2">
      <c r="A550" s="30"/>
      <c r="B550" s="46"/>
      <c r="C550" s="41"/>
      <c r="D550" s="41"/>
      <c r="E550" s="90"/>
      <c r="F550" s="90"/>
      <c r="G550" s="90"/>
      <c r="H550" s="89"/>
      <c r="I550" s="90"/>
      <c r="J550" s="90"/>
      <c r="K550" s="157"/>
      <c r="L550" s="157"/>
      <c r="M550" s="158"/>
      <c r="O550" s="82">
        <f t="shared" si="92"/>
        <v>0</v>
      </c>
    </row>
    <row r="551" spans="1:15" s="5" customFormat="1" ht="16.149999999999999" customHeight="1" x14ac:dyDescent="0.2">
      <c r="A551" s="30"/>
      <c r="B551" s="98" t="s">
        <v>466</v>
      </c>
      <c r="C551" s="32"/>
      <c r="D551" s="32"/>
      <c r="E551" s="89"/>
      <c r="F551" s="89"/>
      <c r="G551" s="89"/>
      <c r="H551" s="89">
        <f t="shared" ref="H551:H553" si="96">PRODUCT(D551:G551)</f>
        <v>0</v>
      </c>
      <c r="I551" s="89"/>
      <c r="J551" s="89"/>
      <c r="K551" s="157"/>
      <c r="L551" s="157"/>
      <c r="M551" s="158"/>
      <c r="O551" s="82">
        <f t="shared" si="92"/>
        <v>0</v>
      </c>
    </row>
    <row r="552" spans="1:15" ht="15.95" customHeight="1" x14ac:dyDescent="0.2">
      <c r="A552" s="30"/>
      <c r="B552" s="46"/>
      <c r="C552" s="41"/>
      <c r="D552" s="41">
        <v>8</v>
      </c>
      <c r="E552" s="90">
        <v>4.5999999999999996</v>
      </c>
      <c r="F552" s="90"/>
      <c r="G552" s="109">
        <f>3.1-2.3</f>
        <v>0.80000000000000027</v>
      </c>
      <c r="H552" s="89">
        <f t="shared" si="96"/>
        <v>29.440000000000008</v>
      </c>
      <c r="I552" s="90"/>
      <c r="J552" s="90"/>
      <c r="K552" s="157"/>
      <c r="L552" s="157"/>
      <c r="M552" s="158"/>
      <c r="O552" s="82">
        <f t="shared" si="92"/>
        <v>0</v>
      </c>
    </row>
    <row r="553" spans="1:15" ht="15.95" customHeight="1" x14ac:dyDescent="0.2">
      <c r="A553" s="30"/>
      <c r="B553" s="46"/>
      <c r="C553" s="41"/>
      <c r="D553" s="41">
        <v>8</v>
      </c>
      <c r="E553" s="90">
        <v>4.0999999999999996</v>
      </c>
      <c r="F553" s="90"/>
      <c r="G553" s="109">
        <f>3.1-2.3</f>
        <v>0.80000000000000027</v>
      </c>
      <c r="H553" s="89">
        <f t="shared" si="96"/>
        <v>26.240000000000006</v>
      </c>
      <c r="I553" s="90"/>
      <c r="J553" s="90"/>
      <c r="K553" s="157"/>
      <c r="L553" s="157"/>
      <c r="M553" s="158"/>
      <c r="O553" s="82">
        <f t="shared" si="92"/>
        <v>0</v>
      </c>
    </row>
    <row r="554" spans="1:15" ht="15.95" customHeight="1" x14ac:dyDescent="0.2">
      <c r="A554" s="30"/>
      <c r="B554" s="46"/>
      <c r="C554" s="41"/>
      <c r="D554" s="41"/>
      <c r="E554" s="90"/>
      <c r="F554" s="90"/>
      <c r="G554" s="90"/>
      <c r="H554" s="89"/>
      <c r="I554" s="90">
        <f>SUM(H552:H554)</f>
        <v>55.680000000000014</v>
      </c>
      <c r="J554" s="90"/>
      <c r="K554" s="157"/>
      <c r="L554" s="157"/>
      <c r="M554" s="158"/>
      <c r="O554" s="82">
        <f t="shared" si="92"/>
        <v>0</v>
      </c>
    </row>
    <row r="555" spans="1:15" s="5" customFormat="1" ht="16.149999999999999" customHeight="1" x14ac:dyDescent="0.2">
      <c r="A555" s="30"/>
      <c r="B555" s="98" t="s">
        <v>467</v>
      </c>
      <c r="C555" s="32"/>
      <c r="D555" s="32"/>
      <c r="E555" s="89"/>
      <c r="F555" s="89"/>
      <c r="G555" s="89"/>
      <c r="H555" s="89">
        <f t="shared" ref="H555:H560" si="97">PRODUCT(D555:G555)</f>
        <v>0</v>
      </c>
      <c r="I555" s="89"/>
      <c r="J555" s="89"/>
      <c r="K555" s="157"/>
      <c r="L555" s="157"/>
      <c r="M555" s="158"/>
      <c r="O555" s="82">
        <f t="shared" si="92"/>
        <v>0</v>
      </c>
    </row>
    <row r="556" spans="1:15" ht="15.95" customHeight="1" x14ac:dyDescent="0.2">
      <c r="A556" s="30"/>
      <c r="B556" s="46"/>
      <c r="C556" s="41"/>
      <c r="D556" s="41">
        <v>2</v>
      </c>
      <c r="E556" s="90">
        <v>2</v>
      </c>
      <c r="F556" s="90"/>
      <c r="G556" s="109">
        <v>3.1</v>
      </c>
      <c r="H556" s="89">
        <f t="shared" si="97"/>
        <v>12.4</v>
      </c>
      <c r="I556" s="90"/>
      <c r="J556" s="90"/>
      <c r="K556" s="157"/>
      <c r="L556" s="157"/>
      <c r="M556" s="158"/>
      <c r="O556" s="82">
        <f t="shared" si="92"/>
        <v>0</v>
      </c>
    </row>
    <row r="557" spans="1:15" ht="15.95" customHeight="1" x14ac:dyDescent="0.2">
      <c r="A557" s="30"/>
      <c r="B557" s="46"/>
      <c r="C557" s="41"/>
      <c r="D557" s="41">
        <v>2</v>
      </c>
      <c r="E557" s="90">
        <v>3</v>
      </c>
      <c r="F557" s="90"/>
      <c r="G557" s="109">
        <v>3.1</v>
      </c>
      <c r="H557" s="89">
        <f t="shared" si="97"/>
        <v>18.600000000000001</v>
      </c>
      <c r="I557" s="90"/>
      <c r="J557" s="108"/>
      <c r="K557" s="157"/>
      <c r="L557" s="157"/>
      <c r="M557" s="158"/>
      <c r="O557" s="82">
        <f t="shared" si="92"/>
        <v>0</v>
      </c>
    </row>
    <row r="558" spans="1:15" s="5" customFormat="1" ht="16.149999999999999" customHeight="1" x14ac:dyDescent="0.2">
      <c r="A558" s="30"/>
      <c r="B558" s="110" t="s">
        <v>480</v>
      </c>
      <c r="C558" s="41"/>
      <c r="D558" s="41"/>
      <c r="E558" s="109"/>
      <c r="F558" s="109"/>
      <c r="G558" s="109"/>
      <c r="H558" s="89">
        <f t="shared" si="97"/>
        <v>0</v>
      </c>
      <c r="I558" s="89"/>
      <c r="K558" s="157"/>
      <c r="L558" s="157"/>
      <c r="M558" s="158"/>
      <c r="O558" s="82">
        <f t="shared" si="92"/>
        <v>0</v>
      </c>
    </row>
    <row r="559" spans="1:15" ht="15.95" customHeight="1" x14ac:dyDescent="0.2">
      <c r="A559" s="30"/>
      <c r="B559" s="41" t="s">
        <v>424</v>
      </c>
      <c r="C559" s="41"/>
      <c r="D559" s="41">
        <v>-2</v>
      </c>
      <c r="E559" s="90">
        <v>0.9</v>
      </c>
      <c r="F559" s="90"/>
      <c r="G559" s="90">
        <v>1.2</v>
      </c>
      <c r="H559" s="89">
        <f t="shared" si="97"/>
        <v>-2.16</v>
      </c>
      <c r="I559" s="89"/>
      <c r="J559" s="90"/>
      <c r="K559" s="157"/>
      <c r="L559" s="157"/>
      <c r="M559" s="158"/>
      <c r="O559" s="82">
        <f t="shared" si="92"/>
        <v>0</v>
      </c>
    </row>
    <row r="560" spans="1:15" ht="15.95" customHeight="1" x14ac:dyDescent="0.2">
      <c r="A560" s="30"/>
      <c r="B560" s="41" t="s">
        <v>481</v>
      </c>
      <c r="C560" s="41"/>
      <c r="D560" s="41">
        <v>-1</v>
      </c>
      <c r="E560" s="90">
        <v>0.9</v>
      </c>
      <c r="F560" s="90"/>
      <c r="G560" s="90">
        <v>2.2000000000000002</v>
      </c>
      <c r="H560" s="89">
        <f t="shared" si="97"/>
        <v>-1.9800000000000002</v>
      </c>
      <c r="I560" s="89"/>
      <c r="J560" s="108"/>
      <c r="K560" s="157"/>
      <c r="L560" s="157"/>
      <c r="M560" s="158"/>
      <c r="O560" s="82">
        <f t="shared" si="92"/>
        <v>0</v>
      </c>
    </row>
    <row r="561" spans="1:15" ht="15.95" customHeight="1" x14ac:dyDescent="0.2">
      <c r="A561" s="40"/>
      <c r="B561" s="46"/>
      <c r="C561" s="41"/>
      <c r="D561" s="41"/>
      <c r="E561" s="90"/>
      <c r="F561" s="90"/>
      <c r="G561" s="90"/>
      <c r="H561" s="90"/>
      <c r="I561" s="90">
        <f>SUM(H556:H560)</f>
        <v>26.86</v>
      </c>
      <c r="J561" s="90"/>
      <c r="K561" s="163"/>
      <c r="L561" s="163"/>
      <c r="M561" s="158"/>
      <c r="O561" s="82">
        <f t="shared" si="92"/>
        <v>0</v>
      </c>
    </row>
    <row r="562" spans="1:15" ht="14.25" x14ac:dyDescent="0.2">
      <c r="A562" s="40"/>
      <c r="B562" s="45"/>
      <c r="C562" s="41"/>
      <c r="D562" s="41"/>
      <c r="E562" s="90"/>
      <c r="F562" s="90"/>
      <c r="G562" s="90"/>
      <c r="H562" s="90"/>
      <c r="I562" s="90"/>
      <c r="J562" s="90"/>
      <c r="K562" s="163"/>
      <c r="L562" s="163"/>
      <c r="M562" s="158"/>
      <c r="O562" s="82">
        <f t="shared" si="92"/>
        <v>0</v>
      </c>
    </row>
    <row r="563" spans="1:15" ht="16.5" customHeight="1" x14ac:dyDescent="0.2">
      <c r="A563" s="40" t="s">
        <v>180</v>
      </c>
      <c r="B563" s="45" t="s">
        <v>268</v>
      </c>
      <c r="C563" s="41" t="s">
        <v>4</v>
      </c>
      <c r="D563" s="41"/>
      <c r="E563" s="90"/>
      <c r="F563" s="90"/>
      <c r="G563" s="90"/>
      <c r="H563" s="90"/>
      <c r="I563" s="90"/>
      <c r="J563" s="90">
        <f>SUM(I567:I596)</f>
        <v>486.14</v>
      </c>
      <c r="K563" s="163">
        <v>510</v>
      </c>
      <c r="L563" s="163">
        <v>25</v>
      </c>
      <c r="M563" s="158">
        <f>+L563*K563</f>
        <v>12750</v>
      </c>
      <c r="O563" s="82">
        <f t="shared" si="92"/>
        <v>23.860000000000014</v>
      </c>
    </row>
    <row r="564" spans="1:15" s="5" customFormat="1" ht="16.149999999999999" customHeight="1" x14ac:dyDescent="0.2">
      <c r="A564" s="30"/>
      <c r="B564" s="98" t="s">
        <v>464</v>
      </c>
      <c r="C564" s="32"/>
      <c r="D564" s="32"/>
      <c r="E564" s="89"/>
      <c r="F564" s="89"/>
      <c r="G564" s="89"/>
      <c r="H564" s="89"/>
      <c r="I564" s="89"/>
      <c r="K564" s="157"/>
      <c r="L564" s="157"/>
      <c r="M564" s="158"/>
      <c r="O564" s="82">
        <f t="shared" si="92"/>
        <v>0</v>
      </c>
    </row>
    <row r="565" spans="1:15" s="5" customFormat="1" ht="16.149999999999999" customHeight="1" x14ac:dyDescent="0.2">
      <c r="A565" s="30"/>
      <c r="B565" s="105" t="s">
        <v>474</v>
      </c>
      <c r="C565" s="32"/>
      <c r="D565" s="32"/>
      <c r="E565" s="89"/>
      <c r="F565" s="89"/>
      <c r="G565" s="89"/>
      <c r="I565" s="89"/>
      <c r="K565" s="157"/>
      <c r="L565" s="157"/>
      <c r="M565" s="158"/>
      <c r="O565" s="82">
        <f t="shared" si="92"/>
        <v>0</v>
      </c>
    </row>
    <row r="566" spans="1:15" s="5" customFormat="1" ht="16.149999999999999" customHeight="1" x14ac:dyDescent="0.2">
      <c r="A566" s="30"/>
      <c r="B566" s="44" t="s">
        <v>494</v>
      </c>
      <c r="C566" s="41"/>
      <c r="D566" s="41">
        <v>2</v>
      </c>
      <c r="E566" s="109">
        <v>6.6</v>
      </c>
      <c r="F566" s="109">
        <v>8.6</v>
      </c>
      <c r="G566" s="109"/>
      <c r="H566" s="89">
        <f>PRODUCT(D566:G566)</f>
        <v>113.52</v>
      </c>
      <c r="I566" s="89"/>
      <c r="K566" s="157"/>
      <c r="L566" s="157"/>
      <c r="M566" s="158"/>
      <c r="O566" s="82">
        <f t="shared" si="92"/>
        <v>0</v>
      </c>
    </row>
    <row r="567" spans="1:15" s="5" customFormat="1" ht="16.149999999999999" customHeight="1" x14ac:dyDescent="0.2">
      <c r="A567" s="30"/>
      <c r="B567" s="44"/>
      <c r="C567" s="41"/>
      <c r="D567" s="41">
        <v>6</v>
      </c>
      <c r="E567" s="109">
        <v>1.2</v>
      </c>
      <c r="F567" s="109">
        <v>0.6</v>
      </c>
      <c r="G567" s="109"/>
      <c r="H567" s="89">
        <f t="shared" ref="H567" si="98">PRODUCT(D567:G567)</f>
        <v>4.3199999999999994</v>
      </c>
      <c r="I567" s="89"/>
      <c r="K567" s="157"/>
      <c r="L567" s="157"/>
      <c r="M567" s="158"/>
      <c r="O567" s="82">
        <f t="shared" si="92"/>
        <v>0</v>
      </c>
    </row>
    <row r="568" spans="1:15" s="5" customFormat="1" ht="16.149999999999999" customHeight="1" x14ac:dyDescent="0.2">
      <c r="A568" s="30"/>
      <c r="B568" s="44" t="s">
        <v>495</v>
      </c>
      <c r="C568" s="41"/>
      <c r="D568" s="41">
        <v>1</v>
      </c>
      <c r="E568" s="109">
        <v>4</v>
      </c>
      <c r="F568" s="109">
        <v>3.4</v>
      </c>
      <c r="G568" s="109"/>
      <c r="H568" s="89">
        <f>PRODUCT(D568:G568)</f>
        <v>13.6</v>
      </c>
      <c r="I568" s="89"/>
      <c r="K568" s="157"/>
      <c r="L568" s="157"/>
      <c r="M568" s="158"/>
      <c r="O568" s="82">
        <f t="shared" si="92"/>
        <v>0</v>
      </c>
    </row>
    <row r="569" spans="1:15" s="5" customFormat="1" ht="16.149999999999999" customHeight="1" x14ac:dyDescent="0.2">
      <c r="A569" s="30"/>
      <c r="B569" s="44" t="s">
        <v>497</v>
      </c>
      <c r="C569" s="41"/>
      <c r="D569" s="41">
        <v>1</v>
      </c>
      <c r="E569" s="109">
        <f>21.4</f>
        <v>21.4</v>
      </c>
      <c r="F569" s="109">
        <v>2.2000000000000002</v>
      </c>
      <c r="G569" s="109"/>
      <c r="H569" s="89">
        <f>PRODUCT(D569:G569)</f>
        <v>47.08</v>
      </c>
      <c r="I569" s="89"/>
      <c r="K569" s="157"/>
      <c r="L569" s="157"/>
      <c r="M569" s="158"/>
      <c r="O569" s="82">
        <f t="shared" si="92"/>
        <v>0</v>
      </c>
    </row>
    <row r="570" spans="1:15" s="5" customFormat="1" ht="16.149999999999999" customHeight="1" x14ac:dyDescent="0.2">
      <c r="A570" s="30"/>
      <c r="B570" s="44"/>
      <c r="C570" s="41"/>
      <c r="D570" s="41">
        <v>6</v>
      </c>
      <c r="E570" s="109">
        <v>2.2000000000000002</v>
      </c>
      <c r="F570" s="109">
        <v>0.4</v>
      </c>
      <c r="G570" s="109"/>
      <c r="H570" s="89">
        <f t="shared" ref="H570:H571" si="99">PRODUCT(D570:G570)</f>
        <v>5.2800000000000011</v>
      </c>
      <c r="I570" s="89"/>
      <c r="K570" s="157"/>
      <c r="L570" s="157"/>
      <c r="M570" s="158"/>
      <c r="O570" s="82">
        <f t="shared" si="92"/>
        <v>0</v>
      </c>
    </row>
    <row r="571" spans="1:15" ht="15.95" customHeight="1" x14ac:dyDescent="0.2">
      <c r="A571" s="30"/>
      <c r="B571" s="46"/>
      <c r="C571" s="41"/>
      <c r="D571" s="41">
        <v>1</v>
      </c>
      <c r="E571" s="90">
        <v>21.4</v>
      </c>
      <c r="F571" s="90">
        <v>0.4</v>
      </c>
      <c r="G571" s="90"/>
      <c r="H571" s="89">
        <f t="shared" si="99"/>
        <v>8.56</v>
      </c>
      <c r="I571" s="89"/>
      <c r="J571" s="108"/>
      <c r="K571" s="157"/>
      <c r="L571" s="157"/>
      <c r="M571" s="158"/>
      <c r="O571" s="82">
        <f t="shared" si="92"/>
        <v>0</v>
      </c>
    </row>
    <row r="572" spans="1:15" ht="15.95" customHeight="1" x14ac:dyDescent="0.2">
      <c r="A572" s="30"/>
      <c r="B572" s="46"/>
      <c r="C572" s="41"/>
      <c r="D572" s="41"/>
      <c r="E572" s="90"/>
      <c r="F572" s="90"/>
      <c r="G572" s="90"/>
      <c r="H572" s="89"/>
      <c r="I572" s="89"/>
      <c r="J572" s="108"/>
      <c r="K572" s="157"/>
      <c r="L572" s="157"/>
      <c r="M572" s="158"/>
      <c r="O572" s="82">
        <f t="shared" si="92"/>
        <v>0</v>
      </c>
    </row>
    <row r="573" spans="1:15" ht="15.95" customHeight="1" x14ac:dyDescent="0.2">
      <c r="A573" s="30"/>
      <c r="B573" s="105" t="s">
        <v>475</v>
      </c>
      <c r="C573" s="41"/>
      <c r="D573" s="41"/>
      <c r="E573" s="90"/>
      <c r="F573" s="90"/>
      <c r="G573" s="90"/>
      <c r="H573" s="89">
        <f t="shared" ref="H573" si="100">PRODUCT(D573:G573)</f>
        <v>0</v>
      </c>
      <c r="I573" s="89">
        <f t="shared" ref="I573" si="101">PRODUCT(E573:H573)</f>
        <v>0</v>
      </c>
      <c r="J573" s="90"/>
      <c r="K573" s="157"/>
      <c r="L573" s="157"/>
      <c r="M573" s="158"/>
      <c r="O573" s="82">
        <f t="shared" si="92"/>
        <v>0</v>
      </c>
    </row>
    <row r="574" spans="1:15" s="5" customFormat="1" ht="16.149999999999999" customHeight="1" x14ac:dyDescent="0.2">
      <c r="A574" s="30"/>
      <c r="B574" s="44" t="s">
        <v>494</v>
      </c>
      <c r="C574" s="41"/>
      <c r="D574" s="41">
        <v>2</v>
      </c>
      <c r="E574" s="109">
        <v>6.6</v>
      </c>
      <c r="F574" s="109">
        <v>8.6</v>
      </c>
      <c r="G574" s="109"/>
      <c r="H574" s="89">
        <f>PRODUCT(D574:G574)</f>
        <v>113.52</v>
      </c>
      <c r="I574" s="89"/>
      <c r="K574" s="157"/>
      <c r="L574" s="157"/>
      <c r="M574" s="158"/>
      <c r="O574" s="82">
        <f t="shared" si="92"/>
        <v>0</v>
      </c>
    </row>
    <row r="575" spans="1:15" s="5" customFormat="1" ht="16.149999999999999" customHeight="1" x14ac:dyDescent="0.2">
      <c r="A575" s="30"/>
      <c r="B575" s="44"/>
      <c r="C575" s="41"/>
      <c r="D575" s="41">
        <v>6</v>
      </c>
      <c r="E575" s="109">
        <v>1.2</v>
      </c>
      <c r="F575" s="109">
        <v>0.6</v>
      </c>
      <c r="G575" s="109"/>
      <c r="H575" s="89">
        <f t="shared" ref="H575" si="102">PRODUCT(D575:G575)</f>
        <v>4.3199999999999994</v>
      </c>
      <c r="I575" s="89"/>
      <c r="K575" s="157"/>
      <c r="L575" s="157"/>
      <c r="M575" s="158"/>
      <c r="O575" s="82">
        <f t="shared" si="92"/>
        <v>0</v>
      </c>
    </row>
    <row r="576" spans="1:15" s="5" customFormat="1" ht="16.149999999999999" customHeight="1" x14ac:dyDescent="0.2">
      <c r="A576" s="30"/>
      <c r="B576" s="44" t="s">
        <v>495</v>
      </c>
      <c r="C576" s="41"/>
      <c r="D576" s="41">
        <v>1</v>
      </c>
      <c r="E576" s="109">
        <v>4</v>
      </c>
      <c r="F576" s="109">
        <v>3.4</v>
      </c>
      <c r="G576" s="109"/>
      <c r="H576" s="89">
        <f>PRODUCT(D576:G576)</f>
        <v>13.6</v>
      </c>
      <c r="I576" s="89"/>
      <c r="K576" s="157"/>
      <c r="L576" s="157"/>
      <c r="M576" s="158"/>
      <c r="O576" s="82">
        <f t="shared" si="92"/>
        <v>0</v>
      </c>
    </row>
    <row r="577" spans="1:15" s="5" customFormat="1" ht="16.149999999999999" customHeight="1" x14ac:dyDescent="0.2">
      <c r="A577" s="30"/>
      <c r="B577" s="44" t="s">
        <v>497</v>
      </c>
      <c r="C577" s="41"/>
      <c r="D577" s="41">
        <v>1</v>
      </c>
      <c r="E577" s="109">
        <f>21.4</f>
        <v>21.4</v>
      </c>
      <c r="F577" s="109">
        <v>2.2000000000000002</v>
      </c>
      <c r="G577" s="109"/>
      <c r="H577" s="89">
        <f>PRODUCT(D577:G577)</f>
        <v>47.08</v>
      </c>
      <c r="I577" s="89"/>
      <c r="K577" s="157"/>
      <c r="L577" s="157"/>
      <c r="M577" s="158"/>
      <c r="O577" s="82">
        <f t="shared" si="92"/>
        <v>0</v>
      </c>
    </row>
    <row r="578" spans="1:15" s="5" customFormat="1" ht="16.149999999999999" customHeight="1" x14ac:dyDescent="0.2">
      <c r="A578" s="30"/>
      <c r="B578" s="44"/>
      <c r="C578" s="41"/>
      <c r="D578" s="41">
        <v>6</v>
      </c>
      <c r="E578" s="109">
        <v>2.2000000000000002</v>
      </c>
      <c r="F578" s="109">
        <v>0.4</v>
      </c>
      <c r="G578" s="109"/>
      <c r="H578" s="89">
        <f t="shared" ref="H578:H579" si="103">PRODUCT(D578:G578)</f>
        <v>5.2800000000000011</v>
      </c>
      <c r="I578" s="89"/>
      <c r="K578" s="157"/>
      <c r="L578" s="157"/>
      <c r="M578" s="158"/>
      <c r="O578" s="82">
        <f t="shared" si="92"/>
        <v>0</v>
      </c>
    </row>
    <row r="579" spans="1:15" ht="15.95" customHeight="1" x14ac:dyDescent="0.2">
      <c r="A579" s="30"/>
      <c r="B579" s="46"/>
      <c r="C579" s="41"/>
      <c r="D579" s="41">
        <v>1</v>
      </c>
      <c r="E579" s="90">
        <v>21.4</v>
      </c>
      <c r="F579" s="90">
        <v>0.4</v>
      </c>
      <c r="G579" s="90"/>
      <c r="H579" s="89">
        <f t="shared" si="103"/>
        <v>8.56</v>
      </c>
      <c r="I579" s="89"/>
      <c r="J579" s="108"/>
      <c r="K579" s="157"/>
      <c r="L579" s="157"/>
      <c r="M579" s="158"/>
      <c r="O579" s="82">
        <f t="shared" si="92"/>
        <v>0</v>
      </c>
    </row>
    <row r="580" spans="1:15" ht="15.95" customHeight="1" x14ac:dyDescent="0.2">
      <c r="A580" s="30"/>
      <c r="B580" s="46"/>
      <c r="C580" s="41"/>
      <c r="D580" s="41"/>
      <c r="E580" s="90"/>
      <c r="F580" s="90"/>
      <c r="G580" s="90"/>
      <c r="H580" s="89"/>
      <c r="I580" s="89">
        <f>SUM(H565:H579)</f>
        <v>384.71999999999997</v>
      </c>
      <c r="J580" s="108"/>
      <c r="K580" s="157"/>
      <c r="L580" s="157"/>
      <c r="M580" s="158"/>
      <c r="O580" s="82">
        <f t="shared" si="92"/>
        <v>0</v>
      </c>
    </row>
    <row r="581" spans="1:15" ht="15.95" customHeight="1" x14ac:dyDescent="0.2">
      <c r="A581" s="30"/>
      <c r="B581" s="46"/>
      <c r="C581" s="41"/>
      <c r="D581" s="41"/>
      <c r="E581" s="90"/>
      <c r="F581" s="90"/>
      <c r="G581" s="90"/>
      <c r="H581" s="89"/>
      <c r="I581" s="89">
        <f t="shared" ref="I581" si="104">PRODUCT(E581:H581)</f>
        <v>0</v>
      </c>
      <c r="J581" s="90"/>
      <c r="K581" s="157"/>
      <c r="L581" s="157"/>
      <c r="M581" s="158"/>
      <c r="O581" s="82">
        <f t="shared" si="92"/>
        <v>0</v>
      </c>
    </row>
    <row r="582" spans="1:15" s="5" customFormat="1" ht="16.149999999999999" customHeight="1" x14ac:dyDescent="0.2">
      <c r="A582" s="30"/>
      <c r="B582" s="98" t="s">
        <v>465</v>
      </c>
      <c r="C582" s="32"/>
      <c r="D582" s="32"/>
      <c r="E582" s="89"/>
      <c r="F582" s="89"/>
      <c r="G582" s="89"/>
      <c r="H582" s="89">
        <f t="shared" ref="H582:H583" si="105">PRODUCT(D582:G582)</f>
        <v>0</v>
      </c>
      <c r="I582" s="89"/>
      <c r="J582" s="89"/>
      <c r="K582" s="157"/>
      <c r="L582" s="157"/>
      <c r="M582" s="158"/>
      <c r="O582" s="82">
        <f t="shared" ref="O582:O645" si="106">K582-J582</f>
        <v>0</v>
      </c>
    </row>
    <row r="583" spans="1:15" s="5" customFormat="1" ht="16.149999999999999" customHeight="1" x14ac:dyDescent="0.2">
      <c r="A583" s="30"/>
      <c r="B583" s="44" t="s">
        <v>485</v>
      </c>
      <c r="C583" s="41"/>
      <c r="D583" s="41">
        <v>0</v>
      </c>
      <c r="E583" s="109">
        <v>5.0999999999999996</v>
      </c>
      <c r="F583" s="109">
        <v>3.1</v>
      </c>
      <c r="G583" s="109"/>
      <c r="H583" s="89">
        <f t="shared" si="105"/>
        <v>0</v>
      </c>
      <c r="I583" s="89"/>
      <c r="K583" s="157"/>
      <c r="L583" s="157"/>
      <c r="M583" s="158"/>
      <c r="O583" s="82">
        <f t="shared" si="106"/>
        <v>0</v>
      </c>
    </row>
    <row r="584" spans="1:15" s="5" customFormat="1" ht="16.149999999999999" customHeight="1" x14ac:dyDescent="0.2">
      <c r="A584" s="30"/>
      <c r="B584" s="44" t="s">
        <v>486</v>
      </c>
      <c r="C584" s="41"/>
      <c r="D584" s="41">
        <v>0</v>
      </c>
      <c r="E584" s="109">
        <v>5.0999999999999996</v>
      </c>
      <c r="F584" s="109">
        <v>7.1</v>
      </c>
      <c r="G584" s="109"/>
      <c r="H584" s="89">
        <f t="shared" ref="H584" si="107">PRODUCT(D584:G584)</f>
        <v>0</v>
      </c>
      <c r="I584" s="89"/>
      <c r="K584" s="157"/>
      <c r="L584" s="157"/>
      <c r="M584" s="158"/>
      <c r="O584" s="82">
        <f t="shared" si="106"/>
        <v>0</v>
      </c>
    </row>
    <row r="585" spans="1:15" s="5" customFormat="1" ht="16.149999999999999" customHeight="1" x14ac:dyDescent="0.2">
      <c r="A585" s="30"/>
      <c r="B585" s="44" t="s">
        <v>487</v>
      </c>
      <c r="C585" s="41"/>
      <c r="D585" s="41">
        <v>2</v>
      </c>
      <c r="E585" s="109">
        <v>2.1</v>
      </c>
      <c r="F585" s="109">
        <v>1.9</v>
      </c>
      <c r="G585" s="109"/>
      <c r="H585" s="89">
        <f t="shared" ref="H585" si="108">PRODUCT(D585:G585)</f>
        <v>7.9799999999999995</v>
      </c>
      <c r="I585" s="89"/>
      <c r="K585" s="157"/>
      <c r="L585" s="157"/>
      <c r="M585" s="158"/>
      <c r="O585" s="82">
        <f t="shared" si="106"/>
        <v>0</v>
      </c>
    </row>
    <row r="586" spans="1:15" s="5" customFormat="1" ht="16.149999999999999" customHeight="1" x14ac:dyDescent="0.2">
      <c r="A586" s="30"/>
      <c r="B586" s="44" t="s">
        <v>488</v>
      </c>
      <c r="C586" s="41"/>
      <c r="D586" s="41">
        <v>1</v>
      </c>
      <c r="E586" s="109">
        <v>4.8</v>
      </c>
      <c r="F586" s="109">
        <v>2.5</v>
      </c>
      <c r="G586" s="109"/>
      <c r="H586" s="89">
        <f t="shared" ref="H586" si="109">PRODUCT(D586:G586)</f>
        <v>12</v>
      </c>
      <c r="I586" s="89"/>
      <c r="K586" s="157"/>
      <c r="L586" s="157"/>
      <c r="M586" s="158"/>
      <c r="O586" s="82">
        <f t="shared" si="106"/>
        <v>0</v>
      </c>
    </row>
    <row r="587" spans="1:15" s="5" customFormat="1" ht="16.149999999999999" customHeight="1" x14ac:dyDescent="0.2">
      <c r="A587" s="30"/>
      <c r="B587" s="44" t="s">
        <v>479</v>
      </c>
      <c r="C587" s="41"/>
      <c r="D587" s="41">
        <v>0</v>
      </c>
      <c r="E587" s="109">
        <v>4.3</v>
      </c>
      <c r="F587" s="109">
        <v>2.9</v>
      </c>
      <c r="G587" s="109"/>
      <c r="H587" s="89">
        <f t="shared" ref="H587" si="110">PRODUCT(D587:G587)</f>
        <v>0</v>
      </c>
      <c r="I587" s="89"/>
      <c r="K587" s="157"/>
      <c r="L587" s="157"/>
      <c r="M587" s="158"/>
      <c r="O587" s="82">
        <f t="shared" si="106"/>
        <v>0</v>
      </c>
    </row>
    <row r="588" spans="1:15" s="5" customFormat="1" ht="16.149999999999999" customHeight="1" x14ac:dyDescent="0.2">
      <c r="A588" s="30"/>
      <c r="B588" s="44" t="s">
        <v>496</v>
      </c>
      <c r="C588" s="41"/>
      <c r="D588" s="41">
        <v>0</v>
      </c>
      <c r="E588" s="109">
        <v>7.3</v>
      </c>
      <c r="F588" s="109">
        <v>2</v>
      </c>
      <c r="G588" s="109"/>
      <c r="H588" s="89">
        <f t="shared" ref="H588:H589" si="111">PRODUCT(D588:G588)</f>
        <v>0</v>
      </c>
      <c r="I588" s="89"/>
      <c r="K588" s="157"/>
      <c r="L588" s="157"/>
      <c r="M588" s="158"/>
      <c r="O588" s="82">
        <f t="shared" si="106"/>
        <v>0</v>
      </c>
    </row>
    <row r="589" spans="1:15" s="5" customFormat="1" ht="16.149999999999999" customHeight="1" x14ac:dyDescent="0.2">
      <c r="A589" s="30"/>
      <c r="B589" s="44"/>
      <c r="C589" s="41"/>
      <c r="D589" s="41">
        <v>0</v>
      </c>
      <c r="E589" s="109">
        <v>5</v>
      </c>
      <c r="F589" s="109">
        <v>1.3</v>
      </c>
      <c r="G589" s="109"/>
      <c r="H589" s="89">
        <f t="shared" si="111"/>
        <v>0</v>
      </c>
      <c r="I589" s="89"/>
      <c r="K589" s="157"/>
      <c r="L589" s="157"/>
      <c r="M589" s="158"/>
      <c r="O589" s="82">
        <f t="shared" si="106"/>
        <v>0</v>
      </c>
    </row>
    <row r="590" spans="1:15" ht="15.95" customHeight="1" x14ac:dyDescent="0.2">
      <c r="A590" s="30"/>
      <c r="B590" s="46"/>
      <c r="C590" s="41"/>
      <c r="D590" s="41"/>
      <c r="E590" s="90"/>
      <c r="F590" s="90"/>
      <c r="G590" s="90"/>
      <c r="H590" s="89"/>
      <c r="I590" s="90">
        <f>SUM(H583:H589)</f>
        <v>19.98</v>
      </c>
      <c r="J590" s="90"/>
      <c r="K590" s="157"/>
      <c r="L590" s="157"/>
      <c r="M590" s="158"/>
      <c r="O590" s="82">
        <f t="shared" si="106"/>
        <v>0</v>
      </c>
    </row>
    <row r="591" spans="1:15" s="5" customFormat="1" ht="16.149999999999999" customHeight="1" x14ac:dyDescent="0.2">
      <c r="A591" s="30"/>
      <c r="B591" s="98" t="s">
        <v>466</v>
      </c>
      <c r="C591" s="32"/>
      <c r="D591" s="32"/>
      <c r="E591" s="89"/>
      <c r="F591" s="89"/>
      <c r="G591" s="89"/>
      <c r="H591" s="89">
        <f t="shared" ref="H591:H592" si="112">PRODUCT(D591:G591)</f>
        <v>0</v>
      </c>
      <c r="I591" s="89"/>
      <c r="J591" s="89"/>
      <c r="K591" s="157"/>
      <c r="L591" s="157"/>
      <c r="M591" s="158"/>
      <c r="O591" s="82">
        <f t="shared" si="106"/>
        <v>0</v>
      </c>
    </row>
    <row r="592" spans="1:15" ht="15.95" customHeight="1" x14ac:dyDescent="0.2">
      <c r="A592" s="30"/>
      <c r="B592" s="46"/>
      <c r="C592" s="41"/>
      <c r="D592" s="41">
        <v>4</v>
      </c>
      <c r="E592" s="90">
        <v>4.5999999999999996</v>
      </c>
      <c r="F592" s="90">
        <v>4.0999999999999996</v>
      </c>
      <c r="G592" s="109"/>
      <c r="H592" s="89">
        <f t="shared" si="112"/>
        <v>75.439999999999984</v>
      </c>
      <c r="I592" s="90"/>
      <c r="J592" s="90"/>
      <c r="K592" s="157"/>
      <c r="L592" s="157"/>
      <c r="M592" s="158"/>
      <c r="O592" s="82">
        <f t="shared" si="106"/>
        <v>0</v>
      </c>
    </row>
    <row r="593" spans="1:15" ht="15.95" customHeight="1" x14ac:dyDescent="0.2">
      <c r="A593" s="30"/>
      <c r="B593" s="46"/>
      <c r="C593" s="41"/>
      <c r="D593" s="41"/>
      <c r="E593" s="90"/>
      <c r="F593" s="90"/>
      <c r="G593" s="90"/>
      <c r="H593" s="89"/>
      <c r="I593" s="90">
        <f>SUM(H592:H593)</f>
        <v>75.439999999999984</v>
      </c>
      <c r="J593" s="90"/>
      <c r="K593" s="157"/>
      <c r="L593" s="157"/>
      <c r="M593" s="158"/>
      <c r="O593" s="82">
        <f t="shared" si="106"/>
        <v>0</v>
      </c>
    </row>
    <row r="594" spans="1:15" s="5" customFormat="1" ht="16.149999999999999" customHeight="1" x14ac:dyDescent="0.2">
      <c r="A594" s="30"/>
      <c r="B594" s="98" t="s">
        <v>467</v>
      </c>
      <c r="C594" s="32"/>
      <c r="D594" s="32"/>
      <c r="E594" s="89"/>
      <c r="F594" s="89"/>
      <c r="G594" s="89"/>
      <c r="H594" s="89">
        <f t="shared" ref="H594:H595" si="113">PRODUCT(D594:G594)</f>
        <v>0</v>
      </c>
      <c r="I594" s="89"/>
      <c r="J594" s="89"/>
      <c r="K594" s="157"/>
      <c r="L594" s="157"/>
      <c r="M594" s="158"/>
      <c r="O594" s="82">
        <f t="shared" si="106"/>
        <v>0</v>
      </c>
    </row>
    <row r="595" spans="1:15" ht="15.95" customHeight="1" x14ac:dyDescent="0.2">
      <c r="A595" s="30"/>
      <c r="B595" s="46"/>
      <c r="C595" s="41"/>
      <c r="D595" s="41">
        <v>1</v>
      </c>
      <c r="E595" s="90">
        <v>2</v>
      </c>
      <c r="F595" s="90">
        <v>3</v>
      </c>
      <c r="G595" s="109"/>
      <c r="H595" s="89">
        <f t="shared" si="113"/>
        <v>6</v>
      </c>
      <c r="I595" s="90"/>
      <c r="J595" s="90"/>
      <c r="K595" s="157"/>
      <c r="L595" s="157"/>
      <c r="M595" s="158"/>
      <c r="O595" s="82">
        <f t="shared" si="106"/>
        <v>0</v>
      </c>
    </row>
    <row r="596" spans="1:15" ht="15.95" customHeight="1" x14ac:dyDescent="0.2">
      <c r="A596" s="40"/>
      <c r="B596" s="46"/>
      <c r="C596" s="41"/>
      <c r="D596" s="41"/>
      <c r="E596" s="90"/>
      <c r="F596" s="90"/>
      <c r="G596" s="90"/>
      <c r="H596" s="90"/>
      <c r="I596" s="90">
        <f>SUM(H595:H595)</f>
        <v>6</v>
      </c>
      <c r="J596" s="90"/>
      <c r="K596" s="163"/>
      <c r="L596" s="163"/>
      <c r="M596" s="158"/>
      <c r="O596" s="82">
        <f t="shared" si="106"/>
        <v>0</v>
      </c>
    </row>
    <row r="597" spans="1:15" ht="16.5" customHeight="1" x14ac:dyDescent="0.2">
      <c r="A597" s="40"/>
      <c r="B597" s="45"/>
      <c r="C597" s="41"/>
      <c r="D597" s="41"/>
      <c r="E597" s="90"/>
      <c r="F597" s="90"/>
      <c r="G597" s="90"/>
      <c r="H597" s="90"/>
      <c r="I597" s="90"/>
      <c r="J597" s="90"/>
      <c r="K597" s="163"/>
      <c r="L597" s="163"/>
      <c r="M597" s="158"/>
      <c r="O597" s="82">
        <f t="shared" si="106"/>
        <v>0</v>
      </c>
    </row>
    <row r="598" spans="1:15" ht="17.100000000000001" customHeight="1" x14ac:dyDescent="0.2">
      <c r="A598" s="40" t="s">
        <v>365</v>
      </c>
      <c r="B598" s="46" t="s">
        <v>269</v>
      </c>
      <c r="C598" s="41" t="s">
        <v>1</v>
      </c>
      <c r="D598" s="41"/>
      <c r="E598" s="90"/>
      <c r="F598" s="90"/>
      <c r="G598" s="90"/>
      <c r="H598" s="90"/>
      <c r="I598" s="90"/>
      <c r="J598" s="90">
        <f>SUM(I600:I614)</f>
        <v>153.80000000000001</v>
      </c>
      <c r="K598" s="163">
        <v>155</v>
      </c>
      <c r="L598" s="163">
        <v>25</v>
      </c>
      <c r="M598" s="158">
        <f>+L598*K598</f>
        <v>3875</v>
      </c>
      <c r="N598" s="43"/>
      <c r="O598" s="82">
        <f t="shared" si="106"/>
        <v>1.1999999999999886</v>
      </c>
    </row>
    <row r="599" spans="1:15" s="5" customFormat="1" ht="16.149999999999999" customHeight="1" x14ac:dyDescent="0.2">
      <c r="A599" s="30"/>
      <c r="B599" s="98" t="s">
        <v>464</v>
      </c>
      <c r="C599" s="32"/>
      <c r="D599" s="32"/>
      <c r="E599" s="89"/>
      <c r="F599" s="89"/>
      <c r="G599" s="89"/>
      <c r="H599" s="89"/>
      <c r="I599" s="89"/>
      <c r="K599" s="157"/>
      <c r="L599" s="157"/>
      <c r="M599" s="158"/>
      <c r="O599" s="82">
        <f t="shared" si="106"/>
        <v>0</v>
      </c>
    </row>
    <row r="600" spans="1:15" ht="16.5" customHeight="1" x14ac:dyDescent="0.2">
      <c r="A600" s="40"/>
      <c r="B600" s="45"/>
      <c r="C600" s="41"/>
      <c r="D600" s="41">
        <v>2</v>
      </c>
      <c r="E600" s="90">
        <v>9.1999999999999993</v>
      </c>
      <c r="F600" s="90"/>
      <c r="G600" s="90"/>
      <c r="H600" s="89">
        <f t="shared" ref="H600:H614" si="114">PRODUCT(D600:G600)</f>
        <v>18.399999999999999</v>
      </c>
      <c r="I600" s="90"/>
      <c r="J600" s="90"/>
      <c r="K600" s="163"/>
      <c r="L600" s="163"/>
      <c r="M600" s="158"/>
      <c r="O600" s="82">
        <f t="shared" si="106"/>
        <v>0</v>
      </c>
    </row>
    <row r="601" spans="1:15" ht="16.5" customHeight="1" x14ac:dyDescent="0.2">
      <c r="A601" s="40"/>
      <c r="B601" s="45"/>
      <c r="C601" s="41"/>
      <c r="D601" s="41">
        <v>2</v>
      </c>
      <c r="E601" s="90">
        <f>21.4-0.2*2</f>
        <v>21</v>
      </c>
      <c r="F601" s="90"/>
      <c r="G601" s="90"/>
      <c r="H601" s="89">
        <f t="shared" si="114"/>
        <v>42</v>
      </c>
      <c r="I601" s="90"/>
      <c r="J601" s="90"/>
      <c r="K601" s="163"/>
      <c r="L601" s="163"/>
      <c r="M601" s="158"/>
      <c r="O601" s="82">
        <f t="shared" si="106"/>
        <v>0</v>
      </c>
    </row>
    <row r="602" spans="1:15" ht="16.5" customHeight="1" x14ac:dyDescent="0.2">
      <c r="A602" s="40"/>
      <c r="B602" s="45"/>
      <c r="C602" s="41"/>
      <c r="D602" s="41"/>
      <c r="E602" s="90"/>
      <c r="F602" s="90"/>
      <c r="G602" s="90"/>
      <c r="H602" s="89">
        <f t="shared" si="114"/>
        <v>0</v>
      </c>
      <c r="I602" s="90">
        <f>SUM(H600:H602)</f>
        <v>60.4</v>
      </c>
      <c r="J602" s="90"/>
      <c r="K602" s="163"/>
      <c r="L602" s="163"/>
      <c r="M602" s="158"/>
      <c r="O602" s="82">
        <f t="shared" si="106"/>
        <v>0</v>
      </c>
    </row>
    <row r="603" spans="1:15" s="5" customFormat="1" ht="16.149999999999999" customHeight="1" x14ac:dyDescent="0.2">
      <c r="A603" s="30"/>
      <c r="B603" s="98" t="s">
        <v>465</v>
      </c>
      <c r="C603" s="32"/>
      <c r="D603" s="32"/>
      <c r="E603" s="89"/>
      <c r="F603" s="89"/>
      <c r="G603" s="89"/>
      <c r="H603" s="89">
        <f t="shared" si="114"/>
        <v>0</v>
      </c>
      <c r="I603" s="89"/>
      <c r="J603" s="89"/>
      <c r="K603" s="157"/>
      <c r="L603" s="157"/>
      <c r="M603" s="158"/>
      <c r="O603" s="82">
        <f t="shared" si="106"/>
        <v>0</v>
      </c>
    </row>
    <row r="604" spans="1:15" ht="16.5" customHeight="1" x14ac:dyDescent="0.2">
      <c r="A604" s="40"/>
      <c r="B604" s="45"/>
      <c r="C604" s="41"/>
      <c r="D604" s="41">
        <v>2</v>
      </c>
      <c r="E604" s="90">
        <v>12.7</v>
      </c>
      <c r="F604" s="90"/>
      <c r="G604" s="90"/>
      <c r="H604" s="89">
        <f t="shared" si="114"/>
        <v>25.4</v>
      </c>
      <c r="I604" s="90"/>
      <c r="J604" s="90"/>
      <c r="K604" s="163"/>
      <c r="L604" s="163"/>
      <c r="M604" s="158"/>
      <c r="O604" s="82">
        <f t="shared" si="106"/>
        <v>0</v>
      </c>
    </row>
    <row r="605" spans="1:15" ht="16.5" customHeight="1" x14ac:dyDescent="0.2">
      <c r="A605" s="40"/>
      <c r="B605" s="45"/>
      <c r="C605" s="41"/>
      <c r="D605" s="41">
        <v>2</v>
      </c>
      <c r="E605" s="90">
        <v>10.4</v>
      </c>
      <c r="F605" s="90"/>
      <c r="G605" s="90"/>
      <c r="H605" s="89">
        <f t="shared" si="114"/>
        <v>20.8</v>
      </c>
      <c r="I605" s="90"/>
      <c r="J605" s="90"/>
      <c r="K605" s="163"/>
      <c r="L605" s="163"/>
      <c r="M605" s="158"/>
      <c r="O605" s="82">
        <f t="shared" si="106"/>
        <v>0</v>
      </c>
    </row>
    <row r="606" spans="1:15" ht="16.5" customHeight="1" x14ac:dyDescent="0.2">
      <c r="A606" s="40"/>
      <c r="B606" s="45"/>
      <c r="C606" s="41"/>
      <c r="D606" s="41"/>
      <c r="E606" s="90"/>
      <c r="F606" s="90"/>
      <c r="G606" s="90"/>
      <c r="H606" s="89">
        <f t="shared" si="114"/>
        <v>0</v>
      </c>
      <c r="I606" s="90">
        <f>SUM(H604:H606)</f>
        <v>46.2</v>
      </c>
      <c r="J606" s="90"/>
      <c r="K606" s="163"/>
      <c r="L606" s="163"/>
      <c r="M606" s="158"/>
      <c r="O606" s="82">
        <f t="shared" si="106"/>
        <v>0</v>
      </c>
    </row>
    <row r="607" spans="1:15" s="5" customFormat="1" ht="16.149999999999999" customHeight="1" x14ac:dyDescent="0.2">
      <c r="A607" s="30"/>
      <c r="B607" s="98" t="s">
        <v>466</v>
      </c>
      <c r="C607" s="32"/>
      <c r="D607" s="32"/>
      <c r="E607" s="89"/>
      <c r="F607" s="89"/>
      <c r="G607" s="89"/>
      <c r="H607" s="89">
        <f t="shared" si="114"/>
        <v>0</v>
      </c>
      <c r="I607" s="89"/>
      <c r="J607" s="89"/>
      <c r="K607" s="157"/>
      <c r="L607" s="157"/>
      <c r="M607" s="158"/>
      <c r="O607" s="82">
        <f t="shared" si="106"/>
        <v>0</v>
      </c>
    </row>
    <row r="608" spans="1:15" ht="16.5" customHeight="1" x14ac:dyDescent="0.2">
      <c r="A608" s="40"/>
      <c r="B608" s="45"/>
      <c r="C608" s="41"/>
      <c r="D608" s="41">
        <v>2</v>
      </c>
      <c r="E608" s="90">
        <v>8.8000000000000007</v>
      </c>
      <c r="F608" s="90"/>
      <c r="G608" s="90"/>
      <c r="H608" s="89">
        <f t="shared" si="114"/>
        <v>17.600000000000001</v>
      </c>
      <c r="I608" s="90"/>
      <c r="J608" s="90"/>
      <c r="K608" s="163"/>
      <c r="L608" s="163"/>
      <c r="M608" s="158"/>
      <c r="O608" s="82">
        <f t="shared" si="106"/>
        <v>0</v>
      </c>
    </row>
    <row r="609" spans="1:15" ht="16.5" customHeight="1" x14ac:dyDescent="0.2">
      <c r="A609" s="40"/>
      <c r="B609" s="45"/>
      <c r="C609" s="41"/>
      <c r="D609" s="41">
        <v>2</v>
      </c>
      <c r="E609" s="90">
        <v>9.4</v>
      </c>
      <c r="F609" s="90"/>
      <c r="G609" s="90"/>
      <c r="H609" s="89">
        <f t="shared" si="114"/>
        <v>18.8</v>
      </c>
      <c r="I609" s="90"/>
      <c r="J609" s="90"/>
      <c r="K609" s="163"/>
      <c r="L609" s="163"/>
      <c r="M609" s="158"/>
      <c r="O609" s="82">
        <f t="shared" si="106"/>
        <v>0</v>
      </c>
    </row>
    <row r="610" spans="1:15" ht="16.5" customHeight="1" x14ac:dyDescent="0.2">
      <c r="A610" s="40"/>
      <c r="B610" s="45"/>
      <c r="C610" s="41"/>
      <c r="D610" s="41"/>
      <c r="E610" s="90"/>
      <c r="F610" s="90"/>
      <c r="G610" s="90"/>
      <c r="H610" s="89">
        <f t="shared" si="114"/>
        <v>0</v>
      </c>
      <c r="I610" s="90">
        <f>SUM(H608:H609)</f>
        <v>36.400000000000006</v>
      </c>
      <c r="J610" s="90"/>
      <c r="K610" s="163"/>
      <c r="L610" s="163"/>
      <c r="M610" s="158"/>
      <c r="O610" s="82">
        <f t="shared" si="106"/>
        <v>0</v>
      </c>
    </row>
    <row r="611" spans="1:15" s="5" customFormat="1" ht="16.149999999999999" customHeight="1" x14ac:dyDescent="0.2">
      <c r="A611" s="30"/>
      <c r="B611" s="98" t="s">
        <v>467</v>
      </c>
      <c r="C611" s="32"/>
      <c r="D611" s="32"/>
      <c r="E611" s="89"/>
      <c r="F611" s="89"/>
      <c r="G611" s="89"/>
      <c r="H611" s="89"/>
      <c r="I611" s="89"/>
      <c r="J611" s="89"/>
      <c r="K611" s="157"/>
      <c r="L611" s="157"/>
      <c r="M611" s="158"/>
      <c r="O611" s="82">
        <f t="shared" si="106"/>
        <v>0</v>
      </c>
    </row>
    <row r="612" spans="1:15" ht="16.5" customHeight="1" x14ac:dyDescent="0.2">
      <c r="A612" s="40"/>
      <c r="B612" s="45"/>
      <c r="C612" s="41"/>
      <c r="D612" s="32">
        <v>2</v>
      </c>
      <c r="E612" s="89">
        <v>2.4</v>
      </c>
      <c r="F612" s="89"/>
      <c r="G612" s="89"/>
      <c r="H612" s="89">
        <f t="shared" ref="H612:H613" si="115">PRODUCT(D612:G612)</f>
        <v>4.8</v>
      </c>
      <c r="I612" s="90"/>
      <c r="J612" s="90"/>
      <c r="K612" s="163"/>
      <c r="L612" s="163"/>
      <c r="M612" s="158"/>
      <c r="O612" s="82">
        <f t="shared" si="106"/>
        <v>0</v>
      </c>
    </row>
    <row r="613" spans="1:15" ht="16.5" customHeight="1" x14ac:dyDescent="0.2">
      <c r="A613" s="40"/>
      <c r="B613" s="45"/>
      <c r="C613" s="41"/>
      <c r="D613" s="32">
        <v>2</v>
      </c>
      <c r="E613" s="89">
        <v>3</v>
      </c>
      <c r="F613" s="89"/>
      <c r="G613" s="89"/>
      <c r="H613" s="89">
        <f t="shared" si="115"/>
        <v>6</v>
      </c>
      <c r="I613" s="90"/>
      <c r="J613" s="90"/>
      <c r="K613" s="163"/>
      <c r="L613" s="163"/>
      <c r="M613" s="158"/>
      <c r="O613" s="82">
        <f t="shared" si="106"/>
        <v>0</v>
      </c>
    </row>
    <row r="614" spans="1:15" ht="16.5" customHeight="1" x14ac:dyDescent="0.2">
      <c r="A614" s="40"/>
      <c r="B614" s="45"/>
      <c r="C614" s="41"/>
      <c r="D614" s="41"/>
      <c r="E614" s="90"/>
      <c r="F614" s="90"/>
      <c r="G614" s="90"/>
      <c r="H614" s="89">
        <f t="shared" si="114"/>
        <v>0</v>
      </c>
      <c r="I614" s="90">
        <f>SUM(H611:H613)</f>
        <v>10.8</v>
      </c>
      <c r="J614" s="90"/>
      <c r="K614" s="163"/>
      <c r="L614" s="163"/>
      <c r="M614" s="158"/>
      <c r="O614" s="82">
        <f t="shared" si="106"/>
        <v>0</v>
      </c>
    </row>
    <row r="615" spans="1:15" ht="18" customHeight="1" x14ac:dyDescent="0.2">
      <c r="A615" s="250" t="s">
        <v>103</v>
      </c>
      <c r="B615" s="251"/>
      <c r="C615" s="251"/>
      <c r="D615" s="251"/>
      <c r="E615" s="251"/>
      <c r="F615" s="251"/>
      <c r="G615" s="251"/>
      <c r="H615" s="251"/>
      <c r="I615" s="251"/>
      <c r="J615" s="251"/>
      <c r="K615" s="251"/>
      <c r="L615" s="252"/>
      <c r="M615" s="159">
        <f>SUM(M451:M614)</f>
        <v>81975</v>
      </c>
      <c r="O615" s="82">
        <f t="shared" si="106"/>
        <v>0</v>
      </c>
    </row>
    <row r="616" spans="1:15" ht="18" customHeight="1" x14ac:dyDescent="0.2">
      <c r="A616" s="24"/>
      <c r="B616" s="25" t="s">
        <v>181</v>
      </c>
      <c r="C616" s="26"/>
      <c r="D616" s="26"/>
      <c r="E616" s="88"/>
      <c r="F616" s="88"/>
      <c r="G616" s="88"/>
      <c r="H616" s="88"/>
      <c r="I616" s="88"/>
      <c r="J616" s="88"/>
      <c r="K616" s="155"/>
      <c r="L616" s="155"/>
      <c r="M616" s="158"/>
      <c r="O616" s="82">
        <f t="shared" si="106"/>
        <v>0</v>
      </c>
    </row>
    <row r="617" spans="1:15" ht="15.95" customHeight="1" x14ac:dyDescent="0.2">
      <c r="A617" s="40" t="s">
        <v>403</v>
      </c>
      <c r="B617" s="45" t="s">
        <v>313</v>
      </c>
      <c r="C617" s="41" t="s">
        <v>76</v>
      </c>
      <c r="D617" s="41"/>
      <c r="E617" s="90"/>
      <c r="F617" s="90"/>
      <c r="G617" s="90"/>
      <c r="H617" s="90"/>
      <c r="I617" s="90"/>
      <c r="J617" s="90">
        <f>SUM(I619:I626)</f>
        <v>5</v>
      </c>
      <c r="K617" s="163">
        <v>5</v>
      </c>
      <c r="L617" s="163">
        <v>400</v>
      </c>
      <c r="M617" s="158">
        <f t="shared" ref="M617:M635" si="116">+L617*K617</f>
        <v>2000</v>
      </c>
      <c r="N617" s="43"/>
      <c r="O617" s="82">
        <f t="shared" si="106"/>
        <v>0</v>
      </c>
    </row>
    <row r="618" spans="1:15" s="5" customFormat="1" ht="16.149999999999999" customHeight="1" x14ac:dyDescent="0.2">
      <c r="A618" s="30"/>
      <c r="B618" s="98" t="s">
        <v>464</v>
      </c>
      <c r="C618" s="32"/>
      <c r="D618" s="32"/>
      <c r="E618" s="89"/>
      <c r="F618" s="89"/>
      <c r="G618" s="89"/>
      <c r="H618" s="89"/>
      <c r="I618" s="89"/>
      <c r="K618" s="157"/>
      <c r="L618" s="157"/>
      <c r="M618" s="158"/>
      <c r="O618" s="82">
        <f t="shared" si="106"/>
        <v>0</v>
      </c>
    </row>
    <row r="619" spans="1:15" ht="16.5" customHeight="1" x14ac:dyDescent="0.2">
      <c r="A619" s="40"/>
      <c r="B619" s="45"/>
      <c r="C619" s="41"/>
      <c r="D619" s="41"/>
      <c r="E619" s="90"/>
      <c r="F619" s="90"/>
      <c r="G619" s="90"/>
      <c r="H619" s="89">
        <f t="shared" ref="H619:H625" si="117">PRODUCT(D619:G619)</f>
        <v>0</v>
      </c>
      <c r="I619" s="90">
        <f>SUM(H619:H619)</f>
        <v>0</v>
      </c>
      <c r="J619" s="90"/>
      <c r="K619" s="163"/>
      <c r="L619" s="163"/>
      <c r="M619" s="158"/>
      <c r="O619" s="82">
        <f t="shared" si="106"/>
        <v>0</v>
      </c>
    </row>
    <row r="620" spans="1:15" s="5" customFormat="1" ht="16.149999999999999" customHeight="1" x14ac:dyDescent="0.2">
      <c r="A620" s="30"/>
      <c r="B620" s="98" t="s">
        <v>465</v>
      </c>
      <c r="C620" s="32"/>
      <c r="D620" s="32"/>
      <c r="E620" s="89"/>
      <c r="F620" s="89"/>
      <c r="G620" s="89"/>
      <c r="H620" s="89">
        <f t="shared" si="117"/>
        <v>0</v>
      </c>
      <c r="I620" s="89"/>
      <c r="J620" s="89"/>
      <c r="K620" s="157"/>
      <c r="L620" s="157"/>
      <c r="M620" s="158"/>
      <c r="O620" s="82">
        <f t="shared" si="106"/>
        <v>0</v>
      </c>
    </row>
    <row r="621" spans="1:15" ht="16.5" customHeight="1" x14ac:dyDescent="0.2">
      <c r="A621" s="40"/>
      <c r="B621" s="45"/>
      <c r="C621" s="41"/>
      <c r="D621" s="41">
        <v>1</v>
      </c>
      <c r="E621" s="90"/>
      <c r="F621" s="90"/>
      <c r="G621" s="90"/>
      <c r="H621" s="89">
        <f t="shared" si="117"/>
        <v>1</v>
      </c>
      <c r="I621" s="90"/>
      <c r="J621" s="90"/>
      <c r="K621" s="163"/>
      <c r="L621" s="163"/>
      <c r="M621" s="158"/>
      <c r="O621" s="82">
        <f t="shared" si="106"/>
        <v>0</v>
      </c>
    </row>
    <row r="622" spans="1:15" ht="16.5" customHeight="1" x14ac:dyDescent="0.2">
      <c r="A622" s="40"/>
      <c r="B622" s="45"/>
      <c r="C622" s="41"/>
      <c r="D622" s="41"/>
      <c r="E622" s="90"/>
      <c r="F622" s="90"/>
      <c r="G622" s="90"/>
      <c r="H622" s="89">
        <f t="shared" si="117"/>
        <v>0</v>
      </c>
      <c r="I622" s="90">
        <f>SUM(H621:H622)</f>
        <v>1</v>
      </c>
      <c r="J622" s="90"/>
      <c r="K622" s="163"/>
      <c r="L622" s="163"/>
      <c r="M622" s="158"/>
      <c r="O622" s="82">
        <f t="shared" si="106"/>
        <v>0</v>
      </c>
    </row>
    <row r="623" spans="1:15" s="5" customFormat="1" ht="16.149999999999999" customHeight="1" x14ac:dyDescent="0.2">
      <c r="A623" s="30"/>
      <c r="B623" s="98" t="s">
        <v>466</v>
      </c>
      <c r="C623" s="32"/>
      <c r="D623" s="32"/>
      <c r="E623" s="89"/>
      <c r="F623" s="89"/>
      <c r="G623" s="89"/>
      <c r="H623" s="89">
        <f t="shared" si="117"/>
        <v>0</v>
      </c>
      <c r="I623" s="89"/>
      <c r="J623" s="89"/>
      <c r="K623" s="157"/>
      <c r="L623" s="157"/>
      <c r="M623" s="158"/>
      <c r="O623" s="82">
        <f t="shared" si="106"/>
        <v>0</v>
      </c>
    </row>
    <row r="624" spans="1:15" ht="16.5" customHeight="1" x14ac:dyDescent="0.2">
      <c r="A624" s="40"/>
      <c r="B624" s="45"/>
      <c r="C624" s="41"/>
      <c r="D624" s="41">
        <v>4</v>
      </c>
      <c r="E624" s="90"/>
      <c r="F624" s="90"/>
      <c r="G624" s="90"/>
      <c r="H624" s="89">
        <f t="shared" si="117"/>
        <v>4</v>
      </c>
      <c r="I624" s="90"/>
      <c r="J624" s="90"/>
      <c r="K624" s="163"/>
      <c r="L624" s="163"/>
      <c r="M624" s="158"/>
      <c r="O624" s="82">
        <f t="shared" si="106"/>
        <v>0</v>
      </c>
    </row>
    <row r="625" spans="1:263" ht="16.5" customHeight="1" x14ac:dyDescent="0.2">
      <c r="A625" s="40"/>
      <c r="B625" s="45"/>
      <c r="C625" s="41"/>
      <c r="D625" s="41"/>
      <c r="E625" s="90"/>
      <c r="F625" s="90"/>
      <c r="G625" s="90"/>
      <c r="H625" s="89">
        <f t="shared" si="117"/>
        <v>0</v>
      </c>
      <c r="I625" s="90">
        <f>SUM(H624:H624)</f>
        <v>4</v>
      </c>
      <c r="J625" s="90"/>
      <c r="K625" s="163"/>
      <c r="L625" s="163"/>
      <c r="M625" s="158"/>
      <c r="O625" s="82">
        <f t="shared" si="106"/>
        <v>0</v>
      </c>
    </row>
    <row r="626" spans="1:263" s="5" customFormat="1" ht="16.149999999999999" customHeight="1" x14ac:dyDescent="0.2">
      <c r="A626" s="30"/>
      <c r="B626" s="98" t="s">
        <v>467</v>
      </c>
      <c r="C626" s="32"/>
      <c r="D626" s="32"/>
      <c r="E626" s="89"/>
      <c r="F626" s="89"/>
      <c r="G626" s="89"/>
      <c r="H626" s="89"/>
      <c r="I626" s="89"/>
      <c r="J626" s="89"/>
      <c r="K626" s="157"/>
      <c r="L626" s="157"/>
      <c r="M626" s="158"/>
      <c r="O626" s="82">
        <f t="shared" si="106"/>
        <v>0</v>
      </c>
    </row>
    <row r="627" spans="1:263" ht="15.95" customHeight="1" x14ac:dyDescent="0.2">
      <c r="A627" s="40"/>
      <c r="B627" s="45"/>
      <c r="C627" s="41"/>
      <c r="D627" s="41"/>
      <c r="E627" s="90"/>
      <c r="F627" s="90"/>
      <c r="G627" s="90"/>
      <c r="H627" s="90"/>
      <c r="I627" s="90"/>
      <c r="J627" s="90"/>
      <c r="K627" s="163"/>
      <c r="L627" s="163"/>
      <c r="M627" s="158"/>
      <c r="N627" s="43"/>
      <c r="O627" s="82">
        <f t="shared" si="106"/>
        <v>0</v>
      </c>
    </row>
    <row r="628" spans="1:263" ht="15.95" customHeight="1" x14ac:dyDescent="0.2">
      <c r="A628" s="40" t="s">
        <v>182</v>
      </c>
      <c r="B628" s="39" t="s">
        <v>305</v>
      </c>
      <c r="C628" s="32" t="s">
        <v>76</v>
      </c>
      <c r="D628" s="32">
        <v>2</v>
      </c>
      <c r="E628" s="89"/>
      <c r="F628" s="89"/>
      <c r="G628" s="89"/>
      <c r="H628" s="89">
        <f t="shared" ref="H628" si="118">PRODUCT(D628:G628)</f>
        <v>2</v>
      </c>
      <c r="I628" s="89">
        <f>H628</f>
        <v>2</v>
      </c>
      <c r="J628" s="89">
        <v>2</v>
      </c>
      <c r="K628" s="157">
        <v>2</v>
      </c>
      <c r="L628" s="157">
        <v>300</v>
      </c>
      <c r="M628" s="158">
        <f t="shared" si="116"/>
        <v>600</v>
      </c>
      <c r="N628" s="34"/>
      <c r="O628" s="82">
        <f t="shared" si="106"/>
        <v>0</v>
      </c>
    </row>
    <row r="629" spans="1:263" ht="15.95" customHeight="1" x14ac:dyDescent="0.2">
      <c r="A629" s="40" t="s">
        <v>337</v>
      </c>
      <c r="B629" s="49" t="s">
        <v>366</v>
      </c>
      <c r="C629" s="32" t="s">
        <v>4</v>
      </c>
      <c r="D629" s="32"/>
      <c r="E629" s="89"/>
      <c r="F629" s="89"/>
      <c r="G629" s="89"/>
      <c r="H629" s="89"/>
      <c r="I629" s="89"/>
      <c r="J629" s="89"/>
      <c r="K629" s="157"/>
      <c r="L629" s="157">
        <v>700</v>
      </c>
      <c r="M629" s="158">
        <f t="shared" si="116"/>
        <v>0</v>
      </c>
      <c r="N629" s="34"/>
      <c r="O629" s="82">
        <f t="shared" si="106"/>
        <v>0</v>
      </c>
    </row>
    <row r="630" spans="1:263" ht="15.95" customHeight="1" x14ac:dyDescent="0.2">
      <c r="A630" s="40" t="s">
        <v>183</v>
      </c>
      <c r="B630" s="47" t="s">
        <v>126</v>
      </c>
      <c r="C630" s="32" t="s">
        <v>1</v>
      </c>
      <c r="D630" s="32"/>
      <c r="E630" s="89"/>
      <c r="F630" s="89"/>
      <c r="G630" s="89"/>
      <c r="H630" s="89"/>
      <c r="I630" s="89"/>
      <c r="J630" s="89"/>
      <c r="K630" s="157"/>
      <c r="L630" s="157">
        <v>1500</v>
      </c>
      <c r="M630" s="158">
        <f t="shared" si="116"/>
        <v>0</v>
      </c>
      <c r="N630" s="34"/>
      <c r="O630" s="82">
        <f t="shared" si="106"/>
        <v>0</v>
      </c>
    </row>
    <row r="631" spans="1:263" ht="15.95" customHeight="1" x14ac:dyDescent="0.2">
      <c r="A631" s="40" t="s">
        <v>184</v>
      </c>
      <c r="B631" s="39" t="s">
        <v>37</v>
      </c>
      <c r="C631" s="32" t="s">
        <v>4</v>
      </c>
      <c r="D631" s="32"/>
      <c r="E631" s="89"/>
      <c r="F631" s="89"/>
      <c r="G631" s="89"/>
      <c r="H631" s="89"/>
      <c r="I631" s="89"/>
      <c r="J631" s="89"/>
      <c r="K631" s="157"/>
      <c r="L631" s="157">
        <v>150</v>
      </c>
      <c r="M631" s="158">
        <f t="shared" si="116"/>
        <v>0</v>
      </c>
      <c r="N631" s="34"/>
      <c r="O631" s="82">
        <f t="shared" si="106"/>
        <v>0</v>
      </c>
    </row>
    <row r="632" spans="1:263" ht="15.95" customHeight="1" x14ac:dyDescent="0.2">
      <c r="A632" s="40" t="s">
        <v>185</v>
      </c>
      <c r="B632" s="46" t="s">
        <v>133</v>
      </c>
      <c r="C632" s="41" t="s">
        <v>76</v>
      </c>
      <c r="D632" s="41"/>
      <c r="E632" s="90"/>
      <c r="F632" s="90"/>
      <c r="G632" s="90"/>
      <c r="H632" s="90"/>
      <c r="I632" s="90"/>
      <c r="J632" s="90"/>
      <c r="K632" s="163"/>
      <c r="L632" s="163">
        <v>200</v>
      </c>
      <c r="M632" s="158">
        <f t="shared" si="116"/>
        <v>0</v>
      </c>
      <c r="N632" s="43"/>
      <c r="O632" s="82">
        <f t="shared" si="106"/>
        <v>0</v>
      </c>
    </row>
    <row r="633" spans="1:263" ht="15.95" customHeight="1" x14ac:dyDescent="0.2">
      <c r="A633" s="40" t="s">
        <v>186</v>
      </c>
      <c r="B633" s="39" t="s">
        <v>270</v>
      </c>
      <c r="C633" s="32" t="s">
        <v>1</v>
      </c>
      <c r="D633" s="32"/>
      <c r="E633" s="89"/>
      <c r="F633" s="89"/>
      <c r="G633" s="89"/>
      <c r="H633" s="89"/>
      <c r="I633" s="89"/>
      <c r="J633" s="89"/>
      <c r="K633" s="157"/>
      <c r="L633" s="157">
        <v>400</v>
      </c>
      <c r="M633" s="158">
        <f t="shared" si="116"/>
        <v>0</v>
      </c>
      <c r="N633" s="34"/>
      <c r="O633" s="82">
        <f t="shared" si="106"/>
        <v>0</v>
      </c>
    </row>
    <row r="634" spans="1:263" s="114" customFormat="1" ht="18" customHeight="1" x14ac:dyDescent="0.2">
      <c r="A634" s="111" t="s">
        <v>187</v>
      </c>
      <c r="B634" s="112" t="s">
        <v>91</v>
      </c>
      <c r="C634" s="101" t="s">
        <v>76</v>
      </c>
      <c r="D634" s="101"/>
      <c r="E634" s="102"/>
      <c r="F634" s="102"/>
      <c r="G634" s="102"/>
      <c r="H634" s="102"/>
      <c r="I634" s="102"/>
      <c r="J634" s="102"/>
      <c r="K634" s="157">
        <v>8</v>
      </c>
      <c r="L634" s="157">
        <v>600</v>
      </c>
      <c r="M634" s="158">
        <f t="shared" si="116"/>
        <v>4800</v>
      </c>
      <c r="N634" s="113"/>
      <c r="O634" s="82">
        <f t="shared" si="106"/>
        <v>8</v>
      </c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  <c r="AA634" s="104"/>
      <c r="AB634" s="104"/>
      <c r="AC634" s="104"/>
      <c r="AD634" s="104"/>
      <c r="AE634" s="104"/>
      <c r="AF634" s="104"/>
      <c r="AG634" s="104"/>
      <c r="AH634" s="104"/>
      <c r="AI634" s="104"/>
      <c r="AJ634" s="104"/>
      <c r="AK634" s="104"/>
      <c r="AL634" s="104"/>
      <c r="AM634" s="104"/>
      <c r="AN634" s="104"/>
      <c r="AO634" s="104"/>
      <c r="AP634" s="104"/>
      <c r="AQ634" s="104"/>
      <c r="AR634" s="104"/>
      <c r="AS634" s="104"/>
      <c r="AT634" s="104"/>
      <c r="AU634" s="104"/>
      <c r="AV634" s="104"/>
      <c r="AW634" s="104"/>
      <c r="AX634" s="104"/>
      <c r="AY634" s="104"/>
      <c r="AZ634" s="104"/>
      <c r="BA634" s="104"/>
      <c r="BB634" s="104"/>
      <c r="BC634" s="104"/>
      <c r="BD634" s="104"/>
      <c r="BE634" s="104"/>
      <c r="BF634" s="104"/>
      <c r="BG634" s="104"/>
      <c r="BH634" s="104"/>
      <c r="BI634" s="104"/>
      <c r="BJ634" s="104"/>
      <c r="BK634" s="104"/>
      <c r="BL634" s="104"/>
      <c r="BM634" s="104"/>
      <c r="BN634" s="104"/>
      <c r="BO634" s="104"/>
      <c r="BP634" s="104"/>
      <c r="BQ634" s="104"/>
      <c r="BR634" s="104"/>
      <c r="BS634" s="104"/>
      <c r="BT634" s="104"/>
      <c r="BU634" s="104"/>
      <c r="BV634" s="104"/>
      <c r="BW634" s="104"/>
      <c r="BX634" s="104"/>
      <c r="BY634" s="104"/>
      <c r="BZ634" s="104"/>
      <c r="CA634" s="104"/>
      <c r="CB634" s="104"/>
      <c r="CC634" s="104"/>
      <c r="CD634" s="104"/>
      <c r="CE634" s="104"/>
      <c r="CF634" s="104"/>
      <c r="CG634" s="104"/>
      <c r="CH634" s="104"/>
      <c r="CI634" s="104"/>
      <c r="CJ634" s="104"/>
      <c r="CK634" s="104"/>
      <c r="CL634" s="104"/>
      <c r="CM634" s="104"/>
      <c r="CN634" s="104"/>
      <c r="CO634" s="104"/>
      <c r="CP634" s="104"/>
      <c r="CQ634" s="104"/>
      <c r="CR634" s="104"/>
      <c r="CS634" s="104"/>
      <c r="CT634" s="104"/>
      <c r="CU634" s="104"/>
      <c r="CV634" s="104"/>
      <c r="CW634" s="104"/>
      <c r="CX634" s="104"/>
      <c r="CY634" s="104"/>
      <c r="CZ634" s="104"/>
      <c r="DA634" s="104"/>
      <c r="DB634" s="104"/>
      <c r="DC634" s="104"/>
      <c r="DD634" s="104"/>
      <c r="DE634" s="104"/>
      <c r="DF634" s="104"/>
      <c r="DG634" s="104"/>
      <c r="DH634" s="104"/>
      <c r="DI634" s="104"/>
      <c r="DJ634" s="104"/>
      <c r="DK634" s="104"/>
      <c r="DL634" s="104"/>
      <c r="DM634" s="104"/>
      <c r="DN634" s="104"/>
      <c r="DO634" s="104"/>
      <c r="DP634" s="104"/>
      <c r="DQ634" s="104"/>
      <c r="DR634" s="104"/>
      <c r="DS634" s="104"/>
      <c r="DT634" s="104"/>
      <c r="DU634" s="104"/>
      <c r="DV634" s="104"/>
      <c r="DW634" s="104"/>
      <c r="DX634" s="104"/>
      <c r="DY634" s="104"/>
      <c r="DZ634" s="104"/>
      <c r="EA634" s="104"/>
      <c r="EB634" s="104"/>
      <c r="EC634" s="104"/>
      <c r="ED634" s="104"/>
      <c r="EE634" s="104"/>
      <c r="EF634" s="104"/>
      <c r="EG634" s="104"/>
      <c r="EH634" s="104"/>
      <c r="EI634" s="104"/>
      <c r="EJ634" s="104"/>
      <c r="EK634" s="104"/>
      <c r="EL634" s="104"/>
      <c r="EM634" s="104"/>
      <c r="EN634" s="104"/>
      <c r="EO634" s="104"/>
      <c r="EP634" s="104"/>
      <c r="EQ634" s="104"/>
      <c r="ER634" s="104"/>
      <c r="ES634" s="104"/>
      <c r="ET634" s="104"/>
      <c r="EU634" s="104"/>
      <c r="EV634" s="104"/>
      <c r="EW634" s="104"/>
      <c r="EX634" s="104"/>
      <c r="EY634" s="104"/>
      <c r="EZ634" s="104"/>
      <c r="FA634" s="104"/>
      <c r="FB634" s="104"/>
      <c r="FC634" s="104"/>
      <c r="FD634" s="104"/>
      <c r="FE634" s="104"/>
      <c r="FF634" s="104"/>
      <c r="FG634" s="104"/>
      <c r="FH634" s="104"/>
      <c r="FI634" s="104"/>
      <c r="FJ634" s="104"/>
      <c r="FK634" s="104"/>
      <c r="FL634" s="104"/>
      <c r="FM634" s="104"/>
      <c r="FN634" s="104"/>
      <c r="FO634" s="104"/>
      <c r="FP634" s="104"/>
      <c r="FQ634" s="104"/>
      <c r="FR634" s="104"/>
      <c r="FS634" s="104"/>
      <c r="FT634" s="104"/>
      <c r="FU634" s="104"/>
      <c r="FV634" s="104"/>
      <c r="FW634" s="104"/>
      <c r="FX634" s="104"/>
      <c r="FY634" s="104"/>
      <c r="FZ634" s="104"/>
      <c r="GA634" s="104"/>
      <c r="GB634" s="104"/>
      <c r="GC634" s="104"/>
      <c r="GD634" s="104"/>
      <c r="GE634" s="104"/>
      <c r="GF634" s="104"/>
      <c r="GG634" s="104"/>
      <c r="GH634" s="104"/>
      <c r="GI634" s="104"/>
      <c r="GJ634" s="104"/>
      <c r="GK634" s="104"/>
      <c r="GL634" s="104"/>
      <c r="GM634" s="104"/>
      <c r="GN634" s="104"/>
      <c r="GO634" s="104"/>
      <c r="GP634" s="104"/>
      <c r="GQ634" s="104"/>
      <c r="GR634" s="104"/>
      <c r="GS634" s="104"/>
      <c r="GT634" s="104"/>
      <c r="GU634" s="104"/>
      <c r="GV634" s="104"/>
      <c r="GW634" s="104"/>
      <c r="GX634" s="104"/>
      <c r="GY634" s="104"/>
      <c r="GZ634" s="104"/>
      <c r="HA634" s="104"/>
      <c r="HB634" s="104"/>
      <c r="HC634" s="104"/>
      <c r="HD634" s="104"/>
      <c r="HE634" s="104"/>
      <c r="HF634" s="104"/>
      <c r="HG634" s="104"/>
      <c r="HH634" s="104"/>
      <c r="HI634" s="104"/>
      <c r="HJ634" s="104"/>
      <c r="HK634" s="104"/>
      <c r="HL634" s="104"/>
      <c r="HM634" s="104"/>
      <c r="HN634" s="104"/>
      <c r="HO634" s="104"/>
      <c r="HP634" s="104"/>
      <c r="HQ634" s="104"/>
      <c r="HR634" s="104"/>
      <c r="HS634" s="104"/>
      <c r="HT634" s="104"/>
      <c r="HU634" s="104"/>
      <c r="HV634" s="104"/>
      <c r="HW634" s="104"/>
      <c r="HX634" s="104"/>
      <c r="HY634" s="104"/>
      <c r="HZ634" s="104"/>
      <c r="IA634" s="104"/>
      <c r="IB634" s="104"/>
      <c r="IC634" s="104"/>
      <c r="ID634" s="104"/>
      <c r="IE634" s="104"/>
      <c r="IF634" s="104"/>
      <c r="IG634" s="104"/>
      <c r="IH634" s="104"/>
      <c r="II634" s="104"/>
      <c r="IJ634" s="104"/>
      <c r="IK634" s="104"/>
      <c r="IL634" s="104"/>
      <c r="IM634" s="104"/>
      <c r="IN634" s="104"/>
      <c r="IO634" s="104"/>
      <c r="IP634" s="104"/>
      <c r="IQ634" s="104"/>
      <c r="IR634" s="104"/>
      <c r="IS634" s="104"/>
      <c r="IT634" s="104"/>
      <c r="IU634" s="104"/>
      <c r="IV634" s="104"/>
      <c r="IW634" s="104"/>
      <c r="IX634" s="104"/>
      <c r="IY634" s="104"/>
      <c r="IZ634" s="104"/>
      <c r="JA634" s="104"/>
      <c r="JB634" s="104"/>
      <c r="JC634" s="104"/>
    </row>
    <row r="635" spans="1:263" ht="18" customHeight="1" x14ac:dyDescent="0.2">
      <c r="A635" s="40" t="s">
        <v>188</v>
      </c>
      <c r="B635" s="47" t="s">
        <v>438</v>
      </c>
      <c r="C635" s="32" t="s">
        <v>1</v>
      </c>
      <c r="D635" s="32"/>
      <c r="E635" s="89"/>
      <c r="F635" s="89"/>
      <c r="G635" s="89"/>
      <c r="H635" s="89"/>
      <c r="I635" s="89"/>
      <c r="J635" s="89"/>
      <c r="K635" s="157"/>
      <c r="L635" s="157">
        <v>180</v>
      </c>
      <c r="M635" s="158">
        <f t="shared" si="116"/>
        <v>0</v>
      </c>
      <c r="N635" s="34"/>
      <c r="O635" s="82">
        <f t="shared" si="106"/>
        <v>0</v>
      </c>
    </row>
    <row r="636" spans="1:263" s="136" customFormat="1" ht="18" customHeight="1" x14ac:dyDescent="0.2">
      <c r="A636" s="130" t="s">
        <v>188</v>
      </c>
      <c r="B636" s="144" t="s">
        <v>519</v>
      </c>
      <c r="C636" s="139" t="s">
        <v>500</v>
      </c>
      <c r="D636" s="139">
        <v>2</v>
      </c>
      <c r="E636" s="145"/>
      <c r="F636" s="145"/>
      <c r="G636" s="145"/>
      <c r="H636" s="145">
        <f t="shared" ref="H636" si="119">PRODUCT(D636:G636)</f>
        <v>2</v>
      </c>
      <c r="I636" s="145">
        <f>H636</f>
        <v>2</v>
      </c>
      <c r="J636" s="145">
        <f>I636</f>
        <v>2</v>
      </c>
      <c r="K636" s="157">
        <v>2</v>
      </c>
      <c r="L636" s="157">
        <v>30000</v>
      </c>
      <c r="M636" s="158">
        <f t="shared" ref="M636" si="120">+L636*K636</f>
        <v>60000</v>
      </c>
      <c r="N636" s="147"/>
      <c r="O636" s="82">
        <f t="shared" si="106"/>
        <v>0</v>
      </c>
      <c r="P636" s="135"/>
      <c r="Q636" s="135"/>
      <c r="R636" s="135"/>
      <c r="S636" s="135"/>
      <c r="T636" s="135"/>
      <c r="U636" s="135"/>
      <c r="V636" s="135"/>
      <c r="W636" s="135"/>
      <c r="X636" s="135"/>
      <c r="Y636" s="135"/>
      <c r="Z636" s="135"/>
      <c r="AA636" s="135"/>
      <c r="AB636" s="135"/>
      <c r="AC636" s="135"/>
      <c r="AD636" s="135"/>
      <c r="AE636" s="135"/>
      <c r="AF636" s="135"/>
      <c r="AG636" s="135"/>
      <c r="AH636" s="135"/>
      <c r="AI636" s="135"/>
      <c r="AJ636" s="135"/>
      <c r="AK636" s="135"/>
      <c r="AL636" s="135"/>
      <c r="AM636" s="135"/>
      <c r="AN636" s="135"/>
      <c r="AO636" s="135"/>
      <c r="AP636" s="135"/>
      <c r="AQ636" s="135"/>
      <c r="AR636" s="135"/>
      <c r="AS636" s="135"/>
      <c r="AT636" s="135"/>
      <c r="AU636" s="135"/>
      <c r="AV636" s="135"/>
      <c r="AW636" s="135"/>
      <c r="AX636" s="135"/>
      <c r="AY636" s="135"/>
      <c r="AZ636" s="135"/>
      <c r="BA636" s="135"/>
      <c r="BB636" s="135"/>
      <c r="BC636" s="135"/>
      <c r="BD636" s="135"/>
      <c r="BE636" s="135"/>
      <c r="BF636" s="135"/>
      <c r="BG636" s="135"/>
      <c r="BH636" s="135"/>
      <c r="BI636" s="135"/>
      <c r="BJ636" s="135"/>
      <c r="BK636" s="135"/>
      <c r="BL636" s="135"/>
      <c r="BM636" s="135"/>
      <c r="BN636" s="135"/>
      <c r="BO636" s="135"/>
      <c r="BP636" s="135"/>
      <c r="BQ636" s="135"/>
      <c r="BR636" s="135"/>
      <c r="BS636" s="135"/>
      <c r="BT636" s="135"/>
      <c r="BU636" s="135"/>
      <c r="BV636" s="135"/>
      <c r="BW636" s="135"/>
      <c r="BX636" s="135"/>
      <c r="BY636" s="135"/>
      <c r="BZ636" s="135"/>
      <c r="CA636" s="135"/>
      <c r="CB636" s="135"/>
      <c r="CC636" s="135"/>
      <c r="CD636" s="135"/>
      <c r="CE636" s="135"/>
      <c r="CF636" s="135"/>
      <c r="CG636" s="135"/>
      <c r="CH636" s="135"/>
      <c r="CI636" s="135"/>
      <c r="CJ636" s="135"/>
      <c r="CK636" s="135"/>
      <c r="CL636" s="135"/>
      <c r="CM636" s="135"/>
      <c r="CN636" s="135"/>
      <c r="CO636" s="135"/>
      <c r="CP636" s="135"/>
      <c r="CQ636" s="135"/>
      <c r="CR636" s="135"/>
      <c r="CS636" s="135"/>
      <c r="CT636" s="135"/>
      <c r="CU636" s="135"/>
      <c r="CV636" s="135"/>
      <c r="CW636" s="135"/>
      <c r="CX636" s="135"/>
      <c r="CY636" s="135"/>
      <c r="CZ636" s="135"/>
      <c r="DA636" s="135"/>
      <c r="DB636" s="135"/>
      <c r="DC636" s="135"/>
      <c r="DD636" s="135"/>
      <c r="DE636" s="135"/>
      <c r="DF636" s="135"/>
      <c r="DG636" s="135"/>
      <c r="DH636" s="135"/>
      <c r="DI636" s="135"/>
      <c r="DJ636" s="135"/>
      <c r="DK636" s="135"/>
      <c r="DL636" s="135"/>
      <c r="DM636" s="135"/>
      <c r="DN636" s="135"/>
      <c r="DO636" s="135"/>
      <c r="DP636" s="135"/>
      <c r="DQ636" s="135"/>
      <c r="DR636" s="135"/>
      <c r="DS636" s="135"/>
      <c r="DT636" s="135"/>
      <c r="DU636" s="135"/>
      <c r="DV636" s="135"/>
      <c r="DW636" s="135"/>
      <c r="DX636" s="135"/>
      <c r="DY636" s="135"/>
      <c r="DZ636" s="135"/>
      <c r="EA636" s="135"/>
      <c r="EB636" s="135"/>
      <c r="EC636" s="135"/>
      <c r="ED636" s="135"/>
      <c r="EE636" s="135"/>
      <c r="EF636" s="135"/>
      <c r="EG636" s="135"/>
      <c r="EH636" s="135"/>
      <c r="EI636" s="135"/>
      <c r="EJ636" s="135"/>
      <c r="EK636" s="135"/>
      <c r="EL636" s="135"/>
      <c r="EM636" s="135"/>
      <c r="EN636" s="135"/>
      <c r="EO636" s="135"/>
      <c r="EP636" s="135"/>
      <c r="EQ636" s="135"/>
      <c r="ER636" s="135"/>
      <c r="ES636" s="135"/>
      <c r="ET636" s="135"/>
      <c r="EU636" s="135"/>
      <c r="EV636" s="135"/>
      <c r="EW636" s="135"/>
      <c r="EX636" s="135"/>
      <c r="EY636" s="135"/>
      <c r="EZ636" s="135"/>
      <c r="FA636" s="135"/>
      <c r="FB636" s="135"/>
      <c r="FC636" s="135"/>
      <c r="FD636" s="135"/>
      <c r="FE636" s="135"/>
      <c r="FF636" s="135"/>
      <c r="FG636" s="135"/>
      <c r="FH636" s="135"/>
      <c r="FI636" s="135"/>
      <c r="FJ636" s="135"/>
      <c r="FK636" s="135"/>
      <c r="FL636" s="135"/>
      <c r="FM636" s="135"/>
      <c r="FN636" s="135"/>
      <c r="FO636" s="135"/>
      <c r="FP636" s="135"/>
      <c r="FQ636" s="135"/>
      <c r="FR636" s="135"/>
      <c r="FS636" s="135"/>
      <c r="FT636" s="135"/>
      <c r="FU636" s="135"/>
      <c r="FV636" s="135"/>
      <c r="FW636" s="135"/>
      <c r="FX636" s="135"/>
      <c r="FY636" s="135"/>
      <c r="FZ636" s="135"/>
      <c r="GA636" s="135"/>
      <c r="GB636" s="135"/>
      <c r="GC636" s="135"/>
      <c r="GD636" s="135"/>
      <c r="GE636" s="135"/>
      <c r="GF636" s="135"/>
      <c r="GG636" s="135"/>
      <c r="GH636" s="135"/>
      <c r="GI636" s="135"/>
      <c r="GJ636" s="135"/>
      <c r="GK636" s="135"/>
      <c r="GL636" s="135"/>
      <c r="GM636" s="135"/>
      <c r="GN636" s="135"/>
      <c r="GO636" s="135"/>
      <c r="GP636" s="135"/>
      <c r="GQ636" s="135"/>
      <c r="GR636" s="135"/>
      <c r="GS636" s="135"/>
      <c r="GT636" s="135"/>
      <c r="GU636" s="135"/>
      <c r="GV636" s="135"/>
      <c r="GW636" s="135"/>
      <c r="GX636" s="135"/>
      <c r="GY636" s="135"/>
      <c r="GZ636" s="135"/>
      <c r="HA636" s="135"/>
      <c r="HB636" s="135"/>
      <c r="HC636" s="135"/>
      <c r="HD636" s="135"/>
      <c r="HE636" s="135"/>
      <c r="HF636" s="135"/>
      <c r="HG636" s="135"/>
      <c r="HH636" s="135"/>
      <c r="HI636" s="135"/>
      <c r="HJ636" s="135"/>
      <c r="HK636" s="135"/>
      <c r="HL636" s="135"/>
      <c r="HM636" s="135"/>
      <c r="HN636" s="135"/>
      <c r="HO636" s="135"/>
      <c r="HP636" s="135"/>
      <c r="HQ636" s="135"/>
      <c r="HR636" s="135"/>
      <c r="HS636" s="135"/>
      <c r="HT636" s="135"/>
      <c r="HU636" s="135"/>
      <c r="HV636" s="135"/>
      <c r="HW636" s="135"/>
      <c r="HX636" s="135"/>
      <c r="HY636" s="135"/>
      <c r="HZ636" s="135"/>
      <c r="IA636" s="135"/>
      <c r="IB636" s="135"/>
      <c r="IC636" s="135"/>
      <c r="ID636" s="135"/>
      <c r="IE636" s="135"/>
      <c r="IF636" s="135"/>
      <c r="IG636" s="135"/>
      <c r="IH636" s="135"/>
      <c r="II636" s="135"/>
      <c r="IJ636" s="135"/>
      <c r="IK636" s="135"/>
      <c r="IL636" s="135"/>
      <c r="IM636" s="135"/>
      <c r="IN636" s="135"/>
      <c r="IO636" s="135"/>
      <c r="IP636" s="135"/>
      <c r="IQ636" s="135"/>
      <c r="IR636" s="135"/>
      <c r="IS636" s="135"/>
      <c r="IT636" s="135"/>
      <c r="IU636" s="135"/>
      <c r="IV636" s="135"/>
      <c r="IW636" s="135"/>
      <c r="IX636" s="135"/>
      <c r="IY636" s="135"/>
      <c r="IZ636" s="135"/>
      <c r="JA636" s="135"/>
      <c r="JB636" s="135"/>
      <c r="JC636" s="135"/>
    </row>
    <row r="637" spans="1:263" ht="18" customHeight="1" x14ac:dyDescent="0.2">
      <c r="A637" s="250" t="s">
        <v>104</v>
      </c>
      <c r="B637" s="251"/>
      <c r="C637" s="251"/>
      <c r="D637" s="251"/>
      <c r="E637" s="251"/>
      <c r="F637" s="251"/>
      <c r="G637" s="251"/>
      <c r="H637" s="251"/>
      <c r="I637" s="251"/>
      <c r="J637" s="251"/>
      <c r="K637" s="251"/>
      <c r="L637" s="252"/>
      <c r="M637" s="159">
        <f>SUM(M616:M636)</f>
        <v>67400</v>
      </c>
      <c r="O637" s="82">
        <f t="shared" si="106"/>
        <v>0</v>
      </c>
    </row>
    <row r="638" spans="1:263" ht="18" customHeight="1" x14ac:dyDescent="0.2">
      <c r="A638" s="250" t="s">
        <v>105</v>
      </c>
      <c r="B638" s="251"/>
      <c r="C638" s="251"/>
      <c r="D638" s="251"/>
      <c r="E638" s="251"/>
      <c r="F638" s="251"/>
      <c r="G638" s="251"/>
      <c r="H638" s="251"/>
      <c r="I638" s="251"/>
      <c r="J638" s="251"/>
      <c r="K638" s="251"/>
      <c r="L638" s="252"/>
      <c r="M638" s="159">
        <f>M637+M615+M450+M355+M242+M212+M173+M135+M45</f>
        <v>1251990</v>
      </c>
      <c r="O638" s="82">
        <f t="shared" si="106"/>
        <v>0</v>
      </c>
    </row>
    <row r="639" spans="1:263" ht="18" customHeight="1" x14ac:dyDescent="0.2">
      <c r="A639" s="24"/>
      <c r="B639" s="25" t="s">
        <v>189</v>
      </c>
      <c r="C639" s="26"/>
      <c r="D639" s="26"/>
      <c r="E639" s="88"/>
      <c r="F639" s="88"/>
      <c r="G639" s="88"/>
      <c r="H639" s="88"/>
      <c r="I639" s="88"/>
      <c r="J639" s="88"/>
      <c r="K639" s="155"/>
      <c r="L639" s="155"/>
      <c r="M639" s="158"/>
      <c r="O639" s="82">
        <f t="shared" si="106"/>
        <v>0</v>
      </c>
    </row>
    <row r="640" spans="1:263" ht="18" customHeight="1" x14ac:dyDescent="0.2">
      <c r="A640" s="40" t="s">
        <v>190</v>
      </c>
      <c r="B640" s="46" t="s">
        <v>120</v>
      </c>
      <c r="C640" s="41" t="s">
        <v>4</v>
      </c>
      <c r="D640" s="41"/>
      <c r="E640" s="90"/>
      <c r="F640" s="90"/>
      <c r="G640" s="90"/>
      <c r="H640" s="90"/>
      <c r="I640" s="90"/>
      <c r="J640" s="90">
        <f>SUM(I642:I656)</f>
        <v>390.52000000000004</v>
      </c>
      <c r="K640" s="163">
        <v>395</v>
      </c>
      <c r="L640" s="163">
        <v>25</v>
      </c>
      <c r="M640" s="158">
        <f t="shared" ref="M640:M679" si="121">+L640*K640</f>
        <v>9875</v>
      </c>
      <c r="N640" s="43"/>
      <c r="O640" s="82">
        <f t="shared" si="106"/>
        <v>4.4799999999999613</v>
      </c>
    </row>
    <row r="641" spans="1:15" s="5" customFormat="1" ht="16.149999999999999" customHeight="1" x14ac:dyDescent="0.2">
      <c r="A641" s="30"/>
      <c r="B641" s="98" t="s">
        <v>464</v>
      </c>
      <c r="C641" s="32"/>
      <c r="D641" s="32"/>
      <c r="E641" s="89"/>
      <c r="F641" s="89"/>
      <c r="G641" s="89"/>
      <c r="H641" s="89"/>
      <c r="I641" s="89"/>
      <c r="K641" s="157"/>
      <c r="L641" s="157"/>
      <c r="M641" s="158"/>
      <c r="O641" s="82">
        <f t="shared" si="106"/>
        <v>0</v>
      </c>
    </row>
    <row r="642" spans="1:15" ht="16.5" customHeight="1" x14ac:dyDescent="0.2">
      <c r="A642" s="40"/>
      <c r="B642" s="45"/>
      <c r="C642" s="41"/>
      <c r="D642" s="41">
        <v>1</v>
      </c>
      <c r="E642" s="90">
        <f>9.2-0.2</f>
        <v>9</v>
      </c>
      <c r="F642" s="90">
        <f>17.8-0.2</f>
        <v>17.600000000000001</v>
      </c>
      <c r="G642" s="90"/>
      <c r="H642" s="89">
        <f t="shared" ref="H642:H656" si="122">PRODUCT(D642:G642)</f>
        <v>158.4</v>
      </c>
      <c r="I642" s="90"/>
      <c r="J642" s="90"/>
      <c r="K642" s="163"/>
      <c r="L642" s="163"/>
      <c r="M642" s="158"/>
      <c r="O642" s="82">
        <f t="shared" si="106"/>
        <v>0</v>
      </c>
    </row>
    <row r="643" spans="1:15" ht="16.5" customHeight="1" x14ac:dyDescent="0.2">
      <c r="A643" s="40"/>
      <c r="B643" s="45"/>
      <c r="C643" s="41"/>
      <c r="D643" s="41">
        <v>1</v>
      </c>
      <c r="E643" s="90">
        <f>6.4-0.2</f>
        <v>6.2</v>
      </c>
      <c r="F643" s="90">
        <v>3.6</v>
      </c>
      <c r="G643" s="90"/>
      <c r="H643" s="89">
        <f t="shared" si="122"/>
        <v>22.32</v>
      </c>
      <c r="I643" s="90"/>
      <c r="J643" s="90"/>
      <c r="K643" s="163"/>
      <c r="L643" s="163"/>
      <c r="M643" s="158"/>
      <c r="O643" s="82">
        <f t="shared" si="106"/>
        <v>0</v>
      </c>
    </row>
    <row r="644" spans="1:15" ht="16.5" customHeight="1" x14ac:dyDescent="0.2">
      <c r="A644" s="40"/>
      <c r="B644" s="45"/>
      <c r="C644" s="41"/>
      <c r="D644" s="41">
        <v>1</v>
      </c>
      <c r="E644" s="90">
        <v>0.6</v>
      </c>
      <c r="F644" s="90">
        <v>2.8</v>
      </c>
      <c r="G644" s="90"/>
      <c r="H644" s="89">
        <f t="shared" si="122"/>
        <v>1.68</v>
      </c>
      <c r="I644" s="90"/>
      <c r="J644" s="90"/>
      <c r="K644" s="163"/>
      <c r="L644" s="163"/>
      <c r="M644" s="158"/>
      <c r="O644" s="82">
        <f t="shared" si="106"/>
        <v>0</v>
      </c>
    </row>
    <row r="645" spans="1:15" ht="16.5" customHeight="1" x14ac:dyDescent="0.2">
      <c r="A645" s="40"/>
      <c r="B645" s="45"/>
      <c r="C645" s="41"/>
      <c r="D645" s="41"/>
      <c r="E645" s="90"/>
      <c r="F645" s="90"/>
      <c r="G645" s="90"/>
      <c r="H645" s="89">
        <f t="shared" si="122"/>
        <v>0</v>
      </c>
      <c r="I645" s="90">
        <f>SUM(H642:H644)</f>
        <v>182.4</v>
      </c>
      <c r="J645" s="90"/>
      <c r="K645" s="163"/>
      <c r="L645" s="163"/>
      <c r="M645" s="158"/>
      <c r="O645" s="82">
        <f t="shared" si="106"/>
        <v>0</v>
      </c>
    </row>
    <row r="646" spans="1:15" s="5" customFormat="1" ht="16.149999999999999" customHeight="1" x14ac:dyDescent="0.2">
      <c r="A646" s="30"/>
      <c r="B646" s="98" t="s">
        <v>465</v>
      </c>
      <c r="C646" s="32"/>
      <c r="D646" s="32"/>
      <c r="E646" s="89"/>
      <c r="F646" s="89"/>
      <c r="G646" s="89"/>
      <c r="H646" s="89">
        <f t="shared" si="122"/>
        <v>0</v>
      </c>
      <c r="I646" s="89"/>
      <c r="J646" s="89"/>
      <c r="K646" s="157"/>
      <c r="L646" s="157"/>
      <c r="M646" s="158"/>
      <c r="O646" s="82">
        <f t="shared" ref="O646:O709" si="123">K646-J646</f>
        <v>0</v>
      </c>
    </row>
    <row r="647" spans="1:15" ht="16.5" customHeight="1" x14ac:dyDescent="0.2">
      <c r="A647" s="40"/>
      <c r="B647" s="45"/>
      <c r="C647" s="41"/>
      <c r="D647" s="41">
        <v>1</v>
      </c>
      <c r="E647" s="90">
        <v>2.7</v>
      </c>
      <c r="F647" s="90">
        <f>7.5-0.2</f>
        <v>7.3</v>
      </c>
      <c r="G647" s="90"/>
      <c r="H647" s="89">
        <f t="shared" si="122"/>
        <v>19.71</v>
      </c>
      <c r="I647" s="90"/>
      <c r="J647" s="90"/>
      <c r="K647" s="163"/>
      <c r="L647" s="163"/>
      <c r="M647" s="158"/>
      <c r="O647" s="82">
        <f t="shared" si="123"/>
        <v>0</v>
      </c>
    </row>
    <row r="648" spans="1:15" ht="16.5" customHeight="1" x14ac:dyDescent="0.2">
      <c r="A648" s="40"/>
      <c r="B648" s="45"/>
      <c r="C648" s="41"/>
      <c r="D648" s="41">
        <v>1</v>
      </c>
      <c r="E648" s="90">
        <f>5.5-0.2</f>
        <v>5.3</v>
      </c>
      <c r="F648" s="90">
        <v>10.6</v>
      </c>
      <c r="G648" s="90"/>
      <c r="H648" s="89">
        <f t="shared" si="122"/>
        <v>56.18</v>
      </c>
      <c r="I648" s="90"/>
      <c r="J648" s="90"/>
      <c r="K648" s="163"/>
      <c r="L648" s="163"/>
      <c r="M648" s="158"/>
      <c r="O648" s="82">
        <f t="shared" si="123"/>
        <v>0</v>
      </c>
    </row>
    <row r="649" spans="1:15" ht="16.5" customHeight="1" x14ac:dyDescent="0.2">
      <c r="A649" s="40"/>
      <c r="B649" s="45"/>
      <c r="C649" s="41"/>
      <c r="D649" s="41">
        <v>1</v>
      </c>
      <c r="E649" s="90">
        <v>4.2</v>
      </c>
      <c r="F649" s="90">
        <v>9.4</v>
      </c>
      <c r="G649" s="90"/>
      <c r="H649" s="89">
        <f t="shared" si="122"/>
        <v>39.480000000000004</v>
      </c>
      <c r="I649" s="90"/>
      <c r="J649" s="90"/>
      <c r="K649" s="163"/>
      <c r="L649" s="163"/>
      <c r="M649" s="158"/>
      <c r="O649" s="82">
        <f t="shared" si="123"/>
        <v>0</v>
      </c>
    </row>
    <row r="650" spans="1:15" ht="16.5" customHeight="1" x14ac:dyDescent="0.2">
      <c r="A650" s="40"/>
      <c r="B650" s="45"/>
      <c r="C650" s="41"/>
      <c r="D650" s="41">
        <v>1</v>
      </c>
      <c r="E650" s="90">
        <v>0.5</v>
      </c>
      <c r="F650" s="90">
        <v>6.3</v>
      </c>
      <c r="G650" s="90"/>
      <c r="H650" s="89">
        <f t="shared" si="122"/>
        <v>3.15</v>
      </c>
      <c r="I650" s="90"/>
      <c r="J650" s="90"/>
      <c r="K650" s="163"/>
      <c r="L650" s="163"/>
      <c r="M650" s="158"/>
      <c r="O650" s="82">
        <f t="shared" si="123"/>
        <v>0</v>
      </c>
    </row>
    <row r="651" spans="1:15" ht="16.5" customHeight="1" x14ac:dyDescent="0.2">
      <c r="A651" s="40"/>
      <c r="B651" s="45"/>
      <c r="C651" s="41"/>
      <c r="D651" s="41"/>
      <c r="E651" s="90"/>
      <c r="F651" s="90"/>
      <c r="G651" s="90"/>
      <c r="H651" s="89">
        <f t="shared" si="122"/>
        <v>0</v>
      </c>
      <c r="I651" s="90">
        <f>SUM(H647:H651)</f>
        <v>118.52000000000001</v>
      </c>
      <c r="J651" s="90"/>
      <c r="K651" s="163"/>
      <c r="L651" s="163"/>
      <c r="M651" s="158"/>
      <c r="O651" s="82">
        <f t="shared" si="123"/>
        <v>0</v>
      </c>
    </row>
    <row r="652" spans="1:15" s="5" customFormat="1" ht="16.149999999999999" customHeight="1" x14ac:dyDescent="0.2">
      <c r="A652" s="30"/>
      <c r="B652" s="98" t="s">
        <v>466</v>
      </c>
      <c r="C652" s="32"/>
      <c r="D652" s="32"/>
      <c r="E652" s="89"/>
      <c r="F652" s="89"/>
      <c r="G652" s="89"/>
      <c r="H652" s="89">
        <f t="shared" si="122"/>
        <v>0</v>
      </c>
      <c r="I652" s="89"/>
      <c r="J652" s="89"/>
      <c r="K652" s="157"/>
      <c r="L652" s="157"/>
      <c r="M652" s="158"/>
      <c r="O652" s="82">
        <f t="shared" si="123"/>
        <v>0</v>
      </c>
    </row>
    <row r="653" spans="1:15" ht="16.5" customHeight="1" x14ac:dyDescent="0.2">
      <c r="A653" s="40"/>
      <c r="B653" s="45"/>
      <c r="C653" s="41"/>
      <c r="D653" s="41">
        <v>1</v>
      </c>
      <c r="E653" s="90">
        <f>8.8-0.2</f>
        <v>8.6000000000000014</v>
      </c>
      <c r="F653" s="90">
        <f>9.8-0.2</f>
        <v>9.6000000000000014</v>
      </c>
      <c r="G653" s="90"/>
      <c r="H653" s="89">
        <f t="shared" si="122"/>
        <v>82.560000000000031</v>
      </c>
      <c r="I653" s="90"/>
      <c r="J653" s="90"/>
      <c r="K653" s="163"/>
      <c r="L653" s="163"/>
      <c r="M653" s="158"/>
      <c r="O653" s="82">
        <f t="shared" si="123"/>
        <v>0</v>
      </c>
    </row>
    <row r="654" spans="1:15" ht="16.5" customHeight="1" x14ac:dyDescent="0.2">
      <c r="A654" s="40"/>
      <c r="B654" s="45"/>
      <c r="C654" s="41"/>
      <c r="D654" s="41"/>
      <c r="E654" s="90"/>
      <c r="F654" s="90"/>
      <c r="G654" s="90"/>
      <c r="H654" s="89">
        <f t="shared" si="122"/>
        <v>0</v>
      </c>
      <c r="I654" s="90">
        <f>SUM(H653:H654)</f>
        <v>82.560000000000031</v>
      </c>
      <c r="J654" s="90"/>
      <c r="K654" s="163"/>
      <c r="L654" s="163"/>
      <c r="M654" s="158"/>
      <c r="O654" s="82">
        <f t="shared" si="123"/>
        <v>0</v>
      </c>
    </row>
    <row r="655" spans="1:15" s="5" customFormat="1" ht="16.149999999999999" customHeight="1" x14ac:dyDescent="0.2">
      <c r="A655" s="30"/>
      <c r="B655" s="98" t="s">
        <v>467</v>
      </c>
      <c r="C655" s="32"/>
      <c r="D655" s="32">
        <v>1</v>
      </c>
      <c r="E655" s="89">
        <v>2.2000000000000002</v>
      </c>
      <c r="F655" s="89">
        <v>3.2</v>
      </c>
      <c r="G655" s="89"/>
      <c r="H655" s="89">
        <f t="shared" si="122"/>
        <v>7.0400000000000009</v>
      </c>
      <c r="I655" s="89"/>
      <c r="J655" s="89"/>
      <c r="K655" s="157"/>
      <c r="L655" s="157"/>
      <c r="M655" s="158"/>
      <c r="O655" s="82">
        <f t="shared" si="123"/>
        <v>0</v>
      </c>
    </row>
    <row r="656" spans="1:15" ht="16.5" customHeight="1" x14ac:dyDescent="0.2">
      <c r="A656" s="40"/>
      <c r="B656" s="45"/>
      <c r="C656" s="41"/>
      <c r="D656" s="41"/>
      <c r="E656" s="90"/>
      <c r="F656" s="90"/>
      <c r="G656" s="90"/>
      <c r="H656" s="89">
        <f t="shared" si="122"/>
        <v>0</v>
      </c>
      <c r="I656" s="90">
        <f>SUM(H655:H656)</f>
        <v>7.0400000000000009</v>
      </c>
      <c r="J656" s="90"/>
      <c r="K656" s="163"/>
      <c r="L656" s="163"/>
      <c r="M656" s="158"/>
      <c r="O656" s="82">
        <f t="shared" si="123"/>
        <v>0</v>
      </c>
    </row>
    <row r="657" spans="1:15" ht="18" customHeight="1" x14ac:dyDescent="0.2">
      <c r="A657" s="40" t="s">
        <v>191</v>
      </c>
      <c r="B657" s="46" t="s">
        <v>439</v>
      </c>
      <c r="C657" s="41" t="s">
        <v>4</v>
      </c>
      <c r="D657" s="41"/>
      <c r="E657" s="90"/>
      <c r="F657" s="90"/>
      <c r="G657" s="90"/>
      <c r="H657" s="90"/>
      <c r="I657" s="90"/>
      <c r="J657" s="90">
        <f>J640</f>
        <v>390.52000000000004</v>
      </c>
      <c r="K657" s="164">
        <f>K640</f>
        <v>395</v>
      </c>
      <c r="L657" s="163">
        <v>120</v>
      </c>
      <c r="M657" s="158">
        <f t="shared" si="121"/>
        <v>47400</v>
      </c>
      <c r="N657" s="43"/>
      <c r="O657" s="82">
        <f t="shared" si="123"/>
        <v>4.4799999999999613</v>
      </c>
    </row>
    <row r="658" spans="1:15" ht="18" customHeight="1" x14ac:dyDescent="0.2">
      <c r="A658" s="40"/>
      <c r="B658" s="46"/>
      <c r="C658" s="41"/>
      <c r="D658" s="41"/>
      <c r="E658" s="90"/>
      <c r="F658" s="90"/>
      <c r="G658" s="90"/>
      <c r="H658" s="90"/>
      <c r="I658" s="90"/>
      <c r="J658" s="90"/>
      <c r="K658" s="164"/>
      <c r="L658" s="163"/>
      <c r="M658" s="158"/>
      <c r="N658" s="43"/>
      <c r="O658" s="82">
        <f t="shared" si="123"/>
        <v>0</v>
      </c>
    </row>
    <row r="659" spans="1:15" ht="18" customHeight="1" x14ac:dyDescent="0.2">
      <c r="A659" s="40" t="s">
        <v>192</v>
      </c>
      <c r="B659" s="46" t="s">
        <v>8</v>
      </c>
      <c r="C659" s="41" t="s">
        <v>1</v>
      </c>
      <c r="D659" s="41"/>
      <c r="E659" s="90"/>
      <c r="F659" s="90"/>
      <c r="G659" s="90"/>
      <c r="H659" s="90"/>
      <c r="I659" s="90"/>
      <c r="J659" s="90">
        <f>SUM(I662:I675)</f>
        <v>154.6</v>
      </c>
      <c r="K659" s="163">
        <v>165</v>
      </c>
      <c r="L659" s="163">
        <v>40</v>
      </c>
      <c r="M659" s="158">
        <f t="shared" si="121"/>
        <v>6600</v>
      </c>
      <c r="N659" s="43"/>
      <c r="O659" s="82">
        <f t="shared" si="123"/>
        <v>10.400000000000006</v>
      </c>
    </row>
    <row r="660" spans="1:15" s="5" customFormat="1" ht="16.149999999999999" customHeight="1" x14ac:dyDescent="0.2">
      <c r="A660" s="30"/>
      <c r="B660" s="98" t="s">
        <v>464</v>
      </c>
      <c r="C660" s="32"/>
      <c r="D660" s="32"/>
      <c r="E660" s="89"/>
      <c r="F660" s="89"/>
      <c r="G660" s="89"/>
      <c r="H660" s="89"/>
      <c r="I660" s="89"/>
      <c r="K660" s="157"/>
      <c r="L660" s="157"/>
      <c r="M660" s="158"/>
      <c r="O660" s="82">
        <f t="shared" si="123"/>
        <v>0</v>
      </c>
    </row>
    <row r="661" spans="1:15" ht="16.5" customHeight="1" x14ac:dyDescent="0.2">
      <c r="A661" s="40"/>
      <c r="B661" s="45"/>
      <c r="C661" s="41"/>
      <c r="D661" s="41">
        <v>2</v>
      </c>
      <c r="E661" s="90">
        <v>9.6</v>
      </c>
      <c r="F661" s="90"/>
      <c r="G661" s="90"/>
      <c r="H661" s="89">
        <f t="shared" ref="H661:H671" si="124">PRODUCT(D661:G661)</f>
        <v>19.2</v>
      </c>
      <c r="I661" s="90"/>
      <c r="J661" s="90"/>
      <c r="K661" s="163"/>
      <c r="L661" s="163"/>
      <c r="M661" s="158"/>
      <c r="O661" s="82">
        <f t="shared" si="123"/>
        <v>0</v>
      </c>
    </row>
    <row r="662" spans="1:15" ht="16.5" customHeight="1" x14ac:dyDescent="0.2">
      <c r="A662" s="40"/>
      <c r="B662" s="45"/>
      <c r="C662" s="41"/>
      <c r="D662" s="41">
        <v>2</v>
      </c>
      <c r="E662" s="90">
        <v>21.2</v>
      </c>
      <c r="F662" s="90"/>
      <c r="G662" s="90"/>
      <c r="H662" s="89">
        <f t="shared" si="124"/>
        <v>42.4</v>
      </c>
      <c r="I662" s="90"/>
      <c r="J662" s="90"/>
      <c r="K662" s="163"/>
      <c r="L662" s="163"/>
      <c r="M662" s="158"/>
      <c r="O662" s="82">
        <f t="shared" si="123"/>
        <v>0</v>
      </c>
    </row>
    <row r="663" spans="1:15" ht="16.5" customHeight="1" x14ac:dyDescent="0.2">
      <c r="A663" s="40"/>
      <c r="B663" s="45"/>
      <c r="C663" s="41"/>
      <c r="D663" s="41"/>
      <c r="E663" s="90"/>
      <c r="F663" s="90"/>
      <c r="G663" s="90"/>
      <c r="H663" s="89">
        <f t="shared" si="124"/>
        <v>0</v>
      </c>
      <c r="I663" s="90">
        <f>SUM(H661:H663)</f>
        <v>61.599999999999994</v>
      </c>
      <c r="J663" s="90"/>
      <c r="K663" s="163"/>
      <c r="L663" s="163"/>
      <c r="M663" s="158"/>
      <c r="O663" s="82">
        <f t="shared" si="123"/>
        <v>0</v>
      </c>
    </row>
    <row r="664" spans="1:15" s="5" customFormat="1" ht="16.149999999999999" customHeight="1" x14ac:dyDescent="0.2">
      <c r="A664" s="30"/>
      <c r="B664" s="98" t="s">
        <v>465</v>
      </c>
      <c r="C664" s="32"/>
      <c r="D664" s="32"/>
      <c r="E664" s="89"/>
      <c r="F664" s="89"/>
      <c r="G664" s="89"/>
      <c r="H664" s="89">
        <f t="shared" si="124"/>
        <v>0</v>
      </c>
      <c r="I664" s="89"/>
      <c r="J664" s="89"/>
      <c r="K664" s="157"/>
      <c r="L664" s="157"/>
      <c r="M664" s="158"/>
      <c r="O664" s="82">
        <f t="shared" si="123"/>
        <v>0</v>
      </c>
    </row>
    <row r="665" spans="1:15" ht="16.5" customHeight="1" x14ac:dyDescent="0.2">
      <c r="A665" s="40"/>
      <c r="B665" s="45"/>
      <c r="C665" s="41"/>
      <c r="D665" s="41">
        <v>2</v>
      </c>
      <c r="E665" s="90">
        <v>12.5</v>
      </c>
      <c r="F665" s="90"/>
      <c r="G665" s="90"/>
      <c r="H665" s="89">
        <f t="shared" si="124"/>
        <v>25</v>
      </c>
      <c r="I665" s="90"/>
      <c r="J665" s="90"/>
      <c r="K665" s="163"/>
      <c r="L665" s="163"/>
      <c r="M665" s="158"/>
      <c r="O665" s="82">
        <f t="shared" si="123"/>
        <v>0</v>
      </c>
    </row>
    <row r="666" spans="1:15" ht="16.5" customHeight="1" x14ac:dyDescent="0.2">
      <c r="A666" s="40"/>
      <c r="B666" s="45"/>
      <c r="C666" s="41"/>
      <c r="D666" s="41">
        <v>2</v>
      </c>
      <c r="E666" s="90">
        <v>10.6</v>
      </c>
      <c r="F666" s="90"/>
      <c r="G666" s="90"/>
      <c r="H666" s="89">
        <f t="shared" si="124"/>
        <v>21.2</v>
      </c>
      <c r="I666" s="90"/>
      <c r="J666" s="90"/>
      <c r="K666" s="163"/>
      <c r="L666" s="163"/>
      <c r="M666" s="158"/>
      <c r="O666" s="82">
        <f t="shared" si="123"/>
        <v>0</v>
      </c>
    </row>
    <row r="667" spans="1:15" ht="16.5" customHeight="1" x14ac:dyDescent="0.2">
      <c r="A667" s="40"/>
      <c r="B667" s="45"/>
      <c r="C667" s="41"/>
      <c r="D667" s="41"/>
      <c r="E667" s="90"/>
      <c r="F667" s="90"/>
      <c r="G667" s="90"/>
      <c r="H667" s="89">
        <f t="shared" si="124"/>
        <v>0</v>
      </c>
      <c r="I667" s="90">
        <f>SUM(H665:H667)</f>
        <v>46.2</v>
      </c>
      <c r="J667" s="90"/>
      <c r="K667" s="163"/>
      <c r="L667" s="163"/>
      <c r="M667" s="158"/>
      <c r="O667" s="82">
        <f t="shared" si="123"/>
        <v>0</v>
      </c>
    </row>
    <row r="668" spans="1:15" s="5" customFormat="1" ht="16.149999999999999" customHeight="1" x14ac:dyDescent="0.2">
      <c r="A668" s="30"/>
      <c r="B668" s="98" t="s">
        <v>466</v>
      </c>
      <c r="C668" s="32"/>
      <c r="D668" s="32"/>
      <c r="E668" s="89"/>
      <c r="F668" s="89"/>
      <c r="G668" s="89"/>
      <c r="H668" s="89">
        <f t="shared" si="124"/>
        <v>0</v>
      </c>
      <c r="I668" s="89"/>
      <c r="J668" s="89"/>
      <c r="K668" s="157"/>
      <c r="L668" s="157"/>
      <c r="M668" s="158"/>
      <c r="O668" s="82">
        <f t="shared" si="123"/>
        <v>0</v>
      </c>
    </row>
    <row r="669" spans="1:15" ht="16.5" customHeight="1" x14ac:dyDescent="0.2">
      <c r="A669" s="40"/>
      <c r="B669" s="45"/>
      <c r="C669" s="41"/>
      <c r="D669" s="41">
        <v>2</v>
      </c>
      <c r="E669" s="90">
        <v>8.6</v>
      </c>
      <c r="F669" s="90"/>
      <c r="G669" s="90"/>
      <c r="H669" s="89">
        <f t="shared" si="124"/>
        <v>17.2</v>
      </c>
      <c r="I669" s="90"/>
      <c r="J669" s="90"/>
      <c r="K669" s="163"/>
      <c r="L669" s="163"/>
      <c r="M669" s="158"/>
      <c r="O669" s="82">
        <f t="shared" si="123"/>
        <v>0</v>
      </c>
    </row>
    <row r="670" spans="1:15" ht="16.5" customHeight="1" x14ac:dyDescent="0.2">
      <c r="A670" s="40"/>
      <c r="B670" s="45"/>
      <c r="C670" s="41"/>
      <c r="D670" s="41">
        <v>2</v>
      </c>
      <c r="E670" s="90">
        <v>9.6</v>
      </c>
      <c r="F670" s="90"/>
      <c r="G670" s="90"/>
      <c r="H670" s="89">
        <f t="shared" si="124"/>
        <v>19.2</v>
      </c>
      <c r="I670" s="90"/>
      <c r="J670" s="90"/>
      <c r="K670" s="163"/>
      <c r="L670" s="163"/>
      <c r="M670" s="158"/>
      <c r="O670" s="82">
        <f t="shared" si="123"/>
        <v>0</v>
      </c>
    </row>
    <row r="671" spans="1:15" ht="16.5" customHeight="1" x14ac:dyDescent="0.2">
      <c r="A671" s="40"/>
      <c r="B671" s="45"/>
      <c r="C671" s="41"/>
      <c r="D671" s="41"/>
      <c r="E671" s="90"/>
      <c r="F671" s="90"/>
      <c r="G671" s="90"/>
      <c r="H671" s="89">
        <f t="shared" si="124"/>
        <v>0</v>
      </c>
      <c r="I671" s="90">
        <f>SUM(H669:H670)</f>
        <v>36.4</v>
      </c>
      <c r="J671" s="90"/>
      <c r="K671" s="163"/>
      <c r="L671" s="163"/>
      <c r="M671" s="158"/>
      <c r="O671" s="82">
        <f t="shared" si="123"/>
        <v>0</v>
      </c>
    </row>
    <row r="672" spans="1:15" s="5" customFormat="1" ht="16.149999999999999" customHeight="1" x14ac:dyDescent="0.2">
      <c r="A672" s="30"/>
      <c r="B672" s="98" t="s">
        <v>467</v>
      </c>
      <c r="C672" s="32"/>
      <c r="D672" s="32"/>
      <c r="E672" s="89"/>
      <c r="F672" s="89"/>
      <c r="G672" s="89"/>
      <c r="H672" s="89"/>
      <c r="I672" s="89"/>
      <c r="J672" s="89"/>
      <c r="K672" s="157"/>
      <c r="L672" s="157"/>
      <c r="M672" s="158"/>
      <c r="O672" s="82">
        <f t="shared" si="123"/>
        <v>0</v>
      </c>
    </row>
    <row r="673" spans="1:15" ht="16.5" customHeight="1" x14ac:dyDescent="0.2">
      <c r="A673" s="40"/>
      <c r="B673" s="45"/>
      <c r="C673" s="41"/>
      <c r="D673" s="32">
        <v>2</v>
      </c>
      <c r="E673" s="89">
        <v>2.2000000000000002</v>
      </c>
      <c r="F673" s="89"/>
      <c r="G673" s="89"/>
      <c r="H673" s="89">
        <f t="shared" ref="H673:H675" si="125">PRODUCT(D673:G673)</f>
        <v>4.4000000000000004</v>
      </c>
      <c r="I673" s="90"/>
      <c r="J673" s="90"/>
      <c r="K673" s="163"/>
      <c r="L673" s="163"/>
      <c r="M673" s="158"/>
      <c r="O673" s="82">
        <f t="shared" si="123"/>
        <v>0</v>
      </c>
    </row>
    <row r="674" spans="1:15" ht="16.5" customHeight="1" x14ac:dyDescent="0.2">
      <c r="A674" s="40"/>
      <c r="B674" s="45"/>
      <c r="C674" s="41"/>
      <c r="D674" s="32">
        <v>2</v>
      </c>
      <c r="E674" s="89">
        <v>3</v>
      </c>
      <c r="F674" s="89"/>
      <c r="G674" s="89"/>
      <c r="H674" s="89">
        <f t="shared" si="125"/>
        <v>6</v>
      </c>
      <c r="I674" s="90"/>
      <c r="J674" s="90"/>
      <c r="K674" s="163"/>
      <c r="L674" s="163"/>
      <c r="M674" s="158"/>
      <c r="O674" s="82">
        <f t="shared" si="123"/>
        <v>0</v>
      </c>
    </row>
    <row r="675" spans="1:15" ht="16.5" customHeight="1" x14ac:dyDescent="0.2">
      <c r="A675" s="40"/>
      <c r="B675" s="45"/>
      <c r="C675" s="41"/>
      <c r="D675" s="41"/>
      <c r="E675" s="90"/>
      <c r="F675" s="90"/>
      <c r="G675" s="90"/>
      <c r="H675" s="89">
        <f t="shared" si="125"/>
        <v>0</v>
      </c>
      <c r="I675" s="90">
        <f>SUM(H672:H674)</f>
        <v>10.4</v>
      </c>
      <c r="J675" s="90"/>
      <c r="K675" s="163"/>
      <c r="L675" s="163"/>
      <c r="M675" s="158"/>
      <c r="O675" s="82">
        <f t="shared" si="123"/>
        <v>0</v>
      </c>
    </row>
    <row r="676" spans="1:15" ht="18" customHeight="1" x14ac:dyDescent="0.2">
      <c r="A676" s="40" t="s">
        <v>193</v>
      </c>
      <c r="B676" s="46" t="s">
        <v>271</v>
      </c>
      <c r="C676" s="41" t="s">
        <v>4</v>
      </c>
      <c r="D676" s="41"/>
      <c r="E676" s="90"/>
      <c r="F676" s="90"/>
      <c r="G676" s="90"/>
      <c r="H676" s="90"/>
      <c r="I676" s="90"/>
      <c r="J676" s="90">
        <f>J640</f>
        <v>390.52000000000004</v>
      </c>
      <c r="K676" s="164">
        <f>K640</f>
        <v>395</v>
      </c>
      <c r="L676" s="163">
        <v>50</v>
      </c>
      <c r="M676" s="158">
        <f t="shared" si="121"/>
        <v>19750</v>
      </c>
      <c r="N676" s="43"/>
      <c r="O676" s="82">
        <f t="shared" si="123"/>
        <v>4.4799999999999613</v>
      </c>
    </row>
    <row r="677" spans="1:15" ht="18" customHeight="1" x14ac:dyDescent="0.2">
      <c r="A677" s="40" t="s">
        <v>194</v>
      </c>
      <c r="B677" s="46" t="s">
        <v>9</v>
      </c>
      <c r="C677" s="41" t="s">
        <v>1</v>
      </c>
      <c r="D677" s="41"/>
      <c r="E677" s="90"/>
      <c r="F677" s="90"/>
      <c r="G677" s="90"/>
      <c r="H677" s="90"/>
      <c r="I677" s="90"/>
      <c r="J677" s="90">
        <f>J659</f>
        <v>154.6</v>
      </c>
      <c r="K677" s="164">
        <f>K659</f>
        <v>165</v>
      </c>
      <c r="L677" s="163">
        <v>30</v>
      </c>
      <c r="M677" s="158">
        <f t="shared" si="121"/>
        <v>4950</v>
      </c>
      <c r="N677" s="43"/>
      <c r="O677" s="82">
        <f t="shared" si="123"/>
        <v>10.400000000000006</v>
      </c>
    </row>
    <row r="678" spans="1:15" ht="18" customHeight="1" x14ac:dyDescent="0.2">
      <c r="A678" s="40" t="s">
        <v>338</v>
      </c>
      <c r="B678" s="46" t="s">
        <v>352</v>
      </c>
      <c r="C678" s="41" t="s">
        <v>4</v>
      </c>
      <c r="D678" s="41"/>
      <c r="E678" s="90"/>
      <c r="F678" s="90"/>
      <c r="G678" s="90"/>
      <c r="H678" s="90"/>
      <c r="I678" s="90"/>
      <c r="J678" s="90"/>
      <c r="K678" s="163"/>
      <c r="L678" s="163">
        <v>70</v>
      </c>
      <c r="M678" s="158">
        <f t="shared" si="121"/>
        <v>0</v>
      </c>
      <c r="N678" s="43"/>
      <c r="O678" s="82">
        <f t="shared" si="123"/>
        <v>0</v>
      </c>
    </row>
    <row r="679" spans="1:15" ht="18" customHeight="1" x14ac:dyDescent="0.2">
      <c r="A679" s="40" t="s">
        <v>196</v>
      </c>
      <c r="B679" s="46" t="s">
        <v>314</v>
      </c>
      <c r="C679" s="32" t="s">
        <v>76</v>
      </c>
      <c r="D679" s="41"/>
      <c r="E679" s="90"/>
      <c r="F679" s="90"/>
      <c r="G679" s="90"/>
      <c r="H679" s="90"/>
      <c r="I679" s="90"/>
      <c r="J679" s="90">
        <f>SUM(I681:I690)</f>
        <v>8</v>
      </c>
      <c r="K679" s="163">
        <v>8</v>
      </c>
      <c r="L679" s="163">
        <v>400</v>
      </c>
      <c r="M679" s="158">
        <f t="shared" si="121"/>
        <v>3200</v>
      </c>
      <c r="N679" s="43"/>
      <c r="O679" s="82">
        <f t="shared" si="123"/>
        <v>0</v>
      </c>
    </row>
    <row r="680" spans="1:15" s="5" customFormat="1" ht="16.149999999999999" customHeight="1" x14ac:dyDescent="0.2">
      <c r="A680" s="30"/>
      <c r="B680" s="98" t="s">
        <v>464</v>
      </c>
      <c r="C680" s="32"/>
      <c r="D680" s="32"/>
      <c r="E680" s="89"/>
      <c r="F680" s="89"/>
      <c r="G680" s="89"/>
      <c r="H680" s="89"/>
      <c r="I680" s="89"/>
      <c r="K680" s="157"/>
      <c r="L680" s="157"/>
      <c r="M680" s="158"/>
      <c r="O680" s="82">
        <f t="shared" si="123"/>
        <v>0</v>
      </c>
    </row>
    <row r="681" spans="1:15" ht="16.5" customHeight="1" x14ac:dyDescent="0.2">
      <c r="A681" s="40"/>
      <c r="B681" s="45"/>
      <c r="C681" s="41"/>
      <c r="D681" s="41">
        <v>3</v>
      </c>
      <c r="E681" s="90"/>
      <c r="F681" s="90"/>
      <c r="G681" s="90"/>
      <c r="H681" s="89">
        <f t="shared" ref="H681:H689" si="126">PRODUCT(D681:G681)</f>
        <v>3</v>
      </c>
      <c r="I681" s="90">
        <f>SUM(H681:H681)</f>
        <v>3</v>
      </c>
      <c r="J681" s="90"/>
      <c r="K681" s="163"/>
      <c r="L681" s="163"/>
      <c r="M681" s="158"/>
      <c r="O681" s="82">
        <f t="shared" si="123"/>
        <v>0</v>
      </c>
    </row>
    <row r="682" spans="1:15" s="5" customFormat="1" ht="16.149999999999999" customHeight="1" x14ac:dyDescent="0.2">
      <c r="A682" s="30"/>
      <c r="B682" s="98" t="s">
        <v>465</v>
      </c>
      <c r="C682" s="32"/>
      <c r="D682" s="32"/>
      <c r="E682" s="89"/>
      <c r="F682" s="89"/>
      <c r="G682" s="89"/>
      <c r="H682" s="89">
        <f t="shared" si="126"/>
        <v>0</v>
      </c>
      <c r="I682" s="89"/>
      <c r="J682" s="89"/>
      <c r="K682" s="157"/>
      <c r="L682" s="157"/>
      <c r="M682" s="158"/>
      <c r="O682" s="82">
        <f t="shared" si="123"/>
        <v>0</v>
      </c>
    </row>
    <row r="683" spans="1:15" ht="16.5" customHeight="1" x14ac:dyDescent="0.2">
      <c r="A683" s="40"/>
      <c r="B683" s="45"/>
      <c r="C683" s="41"/>
      <c r="D683" s="41">
        <v>2</v>
      </c>
      <c r="E683" s="90"/>
      <c r="F683" s="90"/>
      <c r="G683" s="90"/>
      <c r="H683" s="89">
        <f t="shared" si="126"/>
        <v>2</v>
      </c>
      <c r="I683" s="90"/>
      <c r="J683" s="90"/>
      <c r="K683" s="163"/>
      <c r="L683" s="163"/>
      <c r="M683" s="158"/>
      <c r="O683" s="82">
        <f t="shared" si="123"/>
        <v>0</v>
      </c>
    </row>
    <row r="684" spans="1:15" ht="16.5" customHeight="1" x14ac:dyDescent="0.2">
      <c r="A684" s="40"/>
      <c r="B684" s="45"/>
      <c r="C684" s="41"/>
      <c r="D684" s="41"/>
      <c r="E684" s="90"/>
      <c r="F684" s="90"/>
      <c r="G684" s="90"/>
      <c r="H684" s="89">
        <f t="shared" si="126"/>
        <v>0</v>
      </c>
      <c r="I684" s="90">
        <f>SUM(H683:H684)</f>
        <v>2</v>
      </c>
      <c r="J684" s="90"/>
      <c r="K684" s="163"/>
      <c r="L684" s="163"/>
      <c r="M684" s="158"/>
      <c r="O684" s="82">
        <f t="shared" si="123"/>
        <v>0</v>
      </c>
    </row>
    <row r="685" spans="1:15" s="5" customFormat="1" ht="16.149999999999999" customHeight="1" x14ac:dyDescent="0.2">
      <c r="A685" s="30"/>
      <c r="B685" s="98" t="s">
        <v>466</v>
      </c>
      <c r="C685" s="32"/>
      <c r="D685" s="32"/>
      <c r="E685" s="89"/>
      <c r="F685" s="89"/>
      <c r="G685" s="89"/>
      <c r="H685" s="89">
        <f t="shared" si="126"/>
        <v>0</v>
      </c>
      <c r="I685" s="89"/>
      <c r="J685" s="89"/>
      <c r="K685" s="157"/>
      <c r="L685" s="157"/>
      <c r="M685" s="158"/>
      <c r="O685" s="82">
        <f t="shared" si="123"/>
        <v>0</v>
      </c>
    </row>
    <row r="686" spans="1:15" ht="16.5" customHeight="1" x14ac:dyDescent="0.2">
      <c r="A686" s="40"/>
      <c r="B686" s="45"/>
      <c r="C686" s="41"/>
      <c r="D686" s="41">
        <v>2</v>
      </c>
      <c r="E686" s="90"/>
      <c r="F686" s="90"/>
      <c r="G686" s="90"/>
      <c r="H686" s="89">
        <f t="shared" si="126"/>
        <v>2</v>
      </c>
      <c r="I686" s="90"/>
      <c r="J686" s="90"/>
      <c r="K686" s="163"/>
      <c r="L686" s="163"/>
      <c r="M686" s="158"/>
      <c r="O686" s="82">
        <f t="shared" si="123"/>
        <v>0</v>
      </c>
    </row>
    <row r="687" spans="1:15" ht="16.5" customHeight="1" x14ac:dyDescent="0.2">
      <c r="A687" s="40"/>
      <c r="B687" s="45"/>
      <c r="C687" s="41"/>
      <c r="D687" s="41"/>
      <c r="E687" s="90"/>
      <c r="F687" s="90"/>
      <c r="G687" s="90"/>
      <c r="H687" s="89">
        <f t="shared" si="126"/>
        <v>0</v>
      </c>
      <c r="I687" s="90">
        <f>SUM(H686:H686)</f>
        <v>2</v>
      </c>
      <c r="J687" s="90"/>
      <c r="K687" s="163"/>
      <c r="L687" s="163"/>
      <c r="M687" s="158"/>
      <c r="O687" s="82">
        <f t="shared" si="123"/>
        <v>0</v>
      </c>
    </row>
    <row r="688" spans="1:15" s="5" customFormat="1" ht="16.149999999999999" customHeight="1" x14ac:dyDescent="0.2">
      <c r="A688" s="30"/>
      <c r="B688" s="98" t="s">
        <v>467</v>
      </c>
      <c r="C688" s="32"/>
      <c r="D688" s="32"/>
      <c r="E688" s="89"/>
      <c r="F688" s="89"/>
      <c r="G688" s="89"/>
      <c r="H688" s="89">
        <f t="shared" si="126"/>
        <v>0</v>
      </c>
      <c r="I688" s="90">
        <f t="shared" ref="I688:I689" si="127">SUM(H687:H687)</f>
        <v>0</v>
      </c>
      <c r="J688" s="89"/>
      <c r="K688" s="157"/>
      <c r="L688" s="157"/>
      <c r="M688" s="158"/>
      <c r="O688" s="82">
        <f t="shared" si="123"/>
        <v>0</v>
      </c>
    </row>
    <row r="689" spans="1:15" ht="15.95" customHeight="1" x14ac:dyDescent="0.2">
      <c r="A689" s="40"/>
      <c r="B689" s="45"/>
      <c r="C689" s="41"/>
      <c r="D689" s="41">
        <v>1</v>
      </c>
      <c r="E689" s="90"/>
      <c r="F689" s="90"/>
      <c r="G689" s="90"/>
      <c r="H689" s="89">
        <f t="shared" si="126"/>
        <v>1</v>
      </c>
      <c r="I689" s="90">
        <f t="shared" si="127"/>
        <v>0</v>
      </c>
      <c r="J689" s="90"/>
      <c r="K689" s="163"/>
      <c r="L689" s="163"/>
      <c r="M689" s="158"/>
      <c r="N689" s="43"/>
      <c r="O689" s="82">
        <f t="shared" si="123"/>
        <v>0</v>
      </c>
    </row>
    <row r="690" spans="1:15" ht="15.95" customHeight="1" x14ac:dyDescent="0.2">
      <c r="A690" s="40"/>
      <c r="B690" s="45"/>
      <c r="C690" s="41"/>
      <c r="D690" s="41"/>
      <c r="E690" s="90"/>
      <c r="F690" s="90"/>
      <c r="G690" s="90"/>
      <c r="H690" s="89"/>
      <c r="I690" s="90">
        <f>SUM(H689:H690)</f>
        <v>1</v>
      </c>
      <c r="J690" s="90"/>
      <c r="K690" s="163"/>
      <c r="L690" s="163"/>
      <c r="M690" s="158"/>
      <c r="N690" s="43"/>
      <c r="O690" s="82">
        <f t="shared" si="123"/>
        <v>0</v>
      </c>
    </row>
    <row r="691" spans="1:15" s="5" customFormat="1" ht="18" customHeight="1" x14ac:dyDescent="0.2">
      <c r="A691" s="250" t="s">
        <v>107</v>
      </c>
      <c r="B691" s="251"/>
      <c r="C691" s="251"/>
      <c r="D691" s="251"/>
      <c r="E691" s="251"/>
      <c r="F691" s="251"/>
      <c r="G691" s="251"/>
      <c r="H691" s="251"/>
      <c r="I691" s="251"/>
      <c r="J691" s="251"/>
      <c r="K691" s="251"/>
      <c r="L691" s="252"/>
      <c r="M691" s="159">
        <f>SUM(M639:M679)</f>
        <v>91775</v>
      </c>
      <c r="O691" s="82">
        <f t="shared" si="123"/>
        <v>0</v>
      </c>
    </row>
    <row r="692" spans="1:15" ht="15.95" customHeight="1" x14ac:dyDescent="0.2">
      <c r="A692" s="24"/>
      <c r="B692" s="25" t="s">
        <v>272</v>
      </c>
      <c r="C692" s="26"/>
      <c r="D692" s="26"/>
      <c r="E692" s="88"/>
      <c r="F692" s="88"/>
      <c r="G692" s="88"/>
      <c r="H692" s="88"/>
      <c r="I692" s="88"/>
      <c r="J692" s="88"/>
      <c r="K692" s="155"/>
      <c r="L692" s="155"/>
      <c r="M692" s="158"/>
      <c r="O692" s="82">
        <f t="shared" si="123"/>
        <v>0</v>
      </c>
    </row>
    <row r="693" spans="1:15" ht="15.95" customHeight="1" x14ac:dyDescent="0.2">
      <c r="A693" s="40" t="s">
        <v>197</v>
      </c>
      <c r="B693" s="46" t="s">
        <v>551</v>
      </c>
      <c r="C693" s="41" t="s">
        <v>4</v>
      </c>
      <c r="D693" s="41"/>
      <c r="E693" s="90"/>
      <c r="F693" s="90"/>
      <c r="G693" s="90"/>
      <c r="H693" s="90"/>
      <c r="I693" s="90"/>
      <c r="J693" s="90">
        <f>SUM(I696:I714)</f>
        <v>432.34</v>
      </c>
      <c r="K693" s="163">
        <v>440</v>
      </c>
      <c r="L693" s="163">
        <v>120</v>
      </c>
      <c r="M693" s="158">
        <f t="shared" ref="M693:M885" si="128">+L693*K693</f>
        <v>52800</v>
      </c>
      <c r="O693" s="82">
        <f t="shared" si="123"/>
        <v>7.660000000000025</v>
      </c>
    </row>
    <row r="694" spans="1:15" s="5" customFormat="1" ht="16.149999999999999" customHeight="1" x14ac:dyDescent="0.2">
      <c r="A694" s="30"/>
      <c r="B694" s="98" t="s">
        <v>464</v>
      </c>
      <c r="C694" s="32"/>
      <c r="D694" s="32"/>
      <c r="E694" s="89"/>
      <c r="F694" s="89"/>
      <c r="G694" s="89"/>
      <c r="H694" s="89"/>
      <c r="I694" s="89"/>
      <c r="K694" s="157"/>
      <c r="L694" s="157"/>
      <c r="M694" s="158"/>
      <c r="O694" s="82">
        <f t="shared" si="123"/>
        <v>0</v>
      </c>
    </row>
    <row r="695" spans="1:15" s="5" customFormat="1" ht="16.149999999999999" customHeight="1" x14ac:dyDescent="0.2">
      <c r="A695" s="30"/>
      <c r="B695" s="105" t="s">
        <v>474</v>
      </c>
      <c r="C695" s="32"/>
      <c r="D695" s="32"/>
      <c r="E695" s="89"/>
      <c r="F695" s="89"/>
      <c r="G695" s="89"/>
      <c r="I695" s="89"/>
      <c r="K695" s="157"/>
      <c r="L695" s="157"/>
      <c r="M695" s="158"/>
      <c r="O695" s="82">
        <f t="shared" si="123"/>
        <v>0</v>
      </c>
    </row>
    <row r="696" spans="1:15" s="5" customFormat="1" ht="16.149999999999999" customHeight="1" x14ac:dyDescent="0.2">
      <c r="A696" s="30"/>
      <c r="B696" s="44" t="s">
        <v>494</v>
      </c>
      <c r="C696" s="41"/>
      <c r="D696" s="41">
        <v>2</v>
      </c>
      <c r="E696" s="109">
        <v>6.6</v>
      </c>
      <c r="F696" s="109">
        <v>8.6</v>
      </c>
      <c r="G696" s="109"/>
      <c r="H696" s="89">
        <f>PRODUCT(D696:G696)</f>
        <v>113.52</v>
      </c>
      <c r="I696" s="89"/>
      <c r="K696" s="157"/>
      <c r="L696" s="157"/>
      <c r="M696" s="158"/>
      <c r="O696" s="82">
        <f t="shared" si="123"/>
        <v>0</v>
      </c>
    </row>
    <row r="697" spans="1:15" s="5" customFormat="1" ht="16.149999999999999" customHeight="1" x14ac:dyDescent="0.2">
      <c r="A697" s="30"/>
      <c r="B697" s="44"/>
      <c r="C697" s="41"/>
      <c r="D697" s="41">
        <v>2</v>
      </c>
      <c r="E697" s="109">
        <v>1.2</v>
      </c>
      <c r="F697" s="109">
        <v>0.2</v>
      </c>
      <c r="G697" s="109"/>
      <c r="H697" s="89">
        <f t="shared" ref="H697" si="129">PRODUCT(D697:G697)</f>
        <v>0.48</v>
      </c>
      <c r="I697" s="89"/>
      <c r="K697" s="157"/>
      <c r="L697" s="157"/>
      <c r="M697" s="158"/>
      <c r="O697" s="82">
        <f t="shared" si="123"/>
        <v>0</v>
      </c>
    </row>
    <row r="698" spans="1:15" s="5" customFormat="1" ht="16.149999999999999" customHeight="1" x14ac:dyDescent="0.2">
      <c r="A698" s="30"/>
      <c r="B698" s="44" t="s">
        <v>495</v>
      </c>
      <c r="C698" s="41"/>
      <c r="D698" s="41">
        <v>1</v>
      </c>
      <c r="E698" s="109">
        <v>4</v>
      </c>
      <c r="F698" s="109">
        <v>3.4</v>
      </c>
      <c r="G698" s="109"/>
      <c r="H698" s="89">
        <f>PRODUCT(D698:G698)</f>
        <v>13.6</v>
      </c>
      <c r="I698" s="89"/>
      <c r="K698" s="157"/>
      <c r="L698" s="157"/>
      <c r="M698" s="158"/>
      <c r="O698" s="82">
        <f t="shared" si="123"/>
        <v>0</v>
      </c>
    </row>
    <row r="699" spans="1:15" s="5" customFormat="1" ht="16.149999999999999" customHeight="1" x14ac:dyDescent="0.2">
      <c r="A699" s="30"/>
      <c r="B699" s="44" t="s">
        <v>497</v>
      </c>
      <c r="C699" s="41"/>
      <c r="D699" s="41">
        <v>1</v>
      </c>
      <c r="E699" s="109">
        <f>21.4</f>
        <v>21.4</v>
      </c>
      <c r="F699" s="109">
        <v>2.4</v>
      </c>
      <c r="G699" s="109"/>
      <c r="H699" s="89">
        <f>PRODUCT(D699:G699)</f>
        <v>51.359999999999992</v>
      </c>
      <c r="I699" s="89"/>
      <c r="K699" s="157"/>
      <c r="L699" s="157"/>
      <c r="M699" s="158"/>
      <c r="O699" s="82">
        <f t="shared" si="123"/>
        <v>0</v>
      </c>
    </row>
    <row r="700" spans="1:15" ht="15.95" customHeight="1" x14ac:dyDescent="0.2">
      <c r="A700" s="30"/>
      <c r="B700" s="46"/>
      <c r="C700" s="41"/>
      <c r="D700" s="41"/>
      <c r="E700" s="90"/>
      <c r="F700" s="90"/>
      <c r="G700" s="90"/>
      <c r="H700" s="89"/>
      <c r="I700" s="89"/>
      <c r="J700" s="108"/>
      <c r="K700" s="157"/>
      <c r="L700" s="157"/>
      <c r="M700" s="158"/>
      <c r="O700" s="82">
        <f t="shared" si="123"/>
        <v>0</v>
      </c>
    </row>
    <row r="701" spans="1:15" ht="15.95" customHeight="1" x14ac:dyDescent="0.2">
      <c r="A701" s="30"/>
      <c r="B701" s="105" t="s">
        <v>475</v>
      </c>
      <c r="C701" s="41"/>
      <c r="D701" s="41"/>
      <c r="E701" s="90"/>
      <c r="F701" s="90"/>
      <c r="G701" s="90"/>
      <c r="H701" s="89">
        <f t="shared" ref="H701" si="130">PRODUCT(D701:G701)</f>
        <v>0</v>
      </c>
      <c r="I701" s="89">
        <f t="shared" ref="I701" si="131">PRODUCT(E701:H701)</f>
        <v>0</v>
      </c>
      <c r="J701" s="90"/>
      <c r="K701" s="157"/>
      <c r="L701" s="157"/>
      <c r="M701" s="158"/>
      <c r="O701" s="82">
        <f t="shared" si="123"/>
        <v>0</v>
      </c>
    </row>
    <row r="702" spans="1:15" s="5" customFormat="1" ht="16.149999999999999" customHeight="1" x14ac:dyDescent="0.2">
      <c r="A702" s="30"/>
      <c r="B702" s="44" t="s">
        <v>494</v>
      </c>
      <c r="C702" s="41"/>
      <c r="D702" s="41">
        <v>2</v>
      </c>
      <c r="E702" s="109">
        <v>6.6</v>
      </c>
      <c r="F702" s="109">
        <v>8.6</v>
      </c>
      <c r="G702" s="109"/>
      <c r="H702" s="89">
        <f>PRODUCT(D702:G702)</f>
        <v>113.52</v>
      </c>
      <c r="I702" s="89"/>
      <c r="K702" s="157"/>
      <c r="L702" s="157"/>
      <c r="M702" s="158"/>
      <c r="O702" s="82">
        <f t="shared" si="123"/>
        <v>0</v>
      </c>
    </row>
    <row r="703" spans="1:15" s="5" customFormat="1" ht="16.149999999999999" customHeight="1" x14ac:dyDescent="0.2">
      <c r="A703" s="30"/>
      <c r="B703" s="44"/>
      <c r="C703" s="41"/>
      <c r="D703" s="41">
        <v>2</v>
      </c>
      <c r="E703" s="109">
        <v>1.2</v>
      </c>
      <c r="F703" s="109">
        <v>0.2</v>
      </c>
      <c r="G703" s="109"/>
      <c r="H703" s="89">
        <f t="shared" ref="H703" si="132">PRODUCT(D703:G703)</f>
        <v>0.48</v>
      </c>
      <c r="I703" s="89"/>
      <c r="K703" s="157"/>
      <c r="L703" s="157"/>
      <c r="M703" s="158"/>
      <c r="O703" s="82">
        <f t="shared" si="123"/>
        <v>0</v>
      </c>
    </row>
    <row r="704" spans="1:15" s="5" customFormat="1" ht="16.149999999999999" customHeight="1" x14ac:dyDescent="0.2">
      <c r="A704" s="30"/>
      <c r="B704" s="44" t="s">
        <v>501</v>
      </c>
      <c r="C704" s="41"/>
      <c r="D704" s="41">
        <v>1</v>
      </c>
      <c r="E704" s="109">
        <v>1.6</v>
      </c>
      <c r="F704" s="109">
        <v>3.4</v>
      </c>
      <c r="G704" s="109"/>
      <c r="H704" s="89">
        <f>PRODUCT(D704:G704)</f>
        <v>5.44</v>
      </c>
      <c r="I704" s="89"/>
      <c r="K704" s="157"/>
      <c r="L704" s="157"/>
      <c r="M704" s="158"/>
      <c r="O704" s="82">
        <f t="shared" si="123"/>
        <v>0</v>
      </c>
    </row>
    <row r="705" spans="1:15" s="5" customFormat="1" ht="16.149999999999999" customHeight="1" x14ac:dyDescent="0.2">
      <c r="A705" s="30"/>
      <c r="B705" s="44" t="s">
        <v>497</v>
      </c>
      <c r="C705" s="41"/>
      <c r="D705" s="41">
        <v>1</v>
      </c>
      <c r="E705" s="109">
        <f>21.4</f>
        <v>21.4</v>
      </c>
      <c r="F705" s="109">
        <v>2.4</v>
      </c>
      <c r="G705" s="109"/>
      <c r="H705" s="89">
        <f t="shared" ref="H705" si="133">PRODUCT(D705:G705)</f>
        <v>51.359999999999992</v>
      </c>
      <c r="I705" s="89"/>
      <c r="K705" s="157"/>
      <c r="L705" s="157"/>
      <c r="M705" s="158"/>
      <c r="O705" s="82">
        <f t="shared" si="123"/>
        <v>0</v>
      </c>
    </row>
    <row r="706" spans="1:15" ht="15.95" customHeight="1" x14ac:dyDescent="0.2">
      <c r="A706" s="30"/>
      <c r="B706" s="46"/>
      <c r="C706" s="41"/>
      <c r="D706" s="41"/>
      <c r="E706" s="90"/>
      <c r="F706" s="90"/>
      <c r="G706" s="90"/>
      <c r="H706" s="89"/>
      <c r="I706" s="89">
        <f>SUM(H695:H705)</f>
        <v>349.76</v>
      </c>
      <c r="J706" s="108"/>
      <c r="K706" s="157"/>
      <c r="L706" s="157"/>
      <c r="M706" s="158"/>
      <c r="O706" s="82">
        <f t="shared" si="123"/>
        <v>0</v>
      </c>
    </row>
    <row r="707" spans="1:15" s="5" customFormat="1" ht="16.149999999999999" customHeight="1" x14ac:dyDescent="0.2">
      <c r="A707" s="30"/>
      <c r="B707" s="98" t="s">
        <v>466</v>
      </c>
      <c r="C707" s="32"/>
      <c r="D707" s="32"/>
      <c r="E707" s="89"/>
      <c r="F707" s="89"/>
      <c r="G707" s="89"/>
      <c r="H707" s="89">
        <f t="shared" ref="H707:H708" si="134">PRODUCT(D707:G707)</f>
        <v>0</v>
      </c>
      <c r="I707" s="89"/>
      <c r="J707" s="89"/>
      <c r="K707" s="157"/>
      <c r="L707" s="157"/>
      <c r="M707" s="158"/>
      <c r="O707" s="82">
        <f t="shared" si="123"/>
        <v>0</v>
      </c>
    </row>
    <row r="708" spans="1:15" ht="15.95" customHeight="1" x14ac:dyDescent="0.2">
      <c r="A708" s="30"/>
      <c r="B708" s="46"/>
      <c r="C708" s="41"/>
      <c r="D708" s="41">
        <v>4</v>
      </c>
      <c r="E708" s="90">
        <v>4.5999999999999996</v>
      </c>
      <c r="F708" s="90">
        <v>4.0999999999999996</v>
      </c>
      <c r="G708" s="109"/>
      <c r="H708" s="89">
        <f t="shared" si="134"/>
        <v>75.439999999999984</v>
      </c>
      <c r="I708" s="90"/>
      <c r="J708" s="90"/>
      <c r="K708" s="157"/>
      <c r="L708" s="157"/>
      <c r="M708" s="158"/>
      <c r="O708" s="82">
        <f t="shared" si="123"/>
        <v>0</v>
      </c>
    </row>
    <row r="709" spans="1:15" ht="15.95" customHeight="1" x14ac:dyDescent="0.2">
      <c r="A709" s="30"/>
      <c r="B709" s="46"/>
      <c r="C709" s="41"/>
      <c r="D709" s="41">
        <v>4</v>
      </c>
      <c r="E709" s="90">
        <v>1.2</v>
      </c>
      <c r="F709" s="90">
        <v>0.2</v>
      </c>
      <c r="G709" s="109"/>
      <c r="H709" s="89">
        <f t="shared" ref="H709" si="135">PRODUCT(D709:G709)</f>
        <v>0.96</v>
      </c>
      <c r="I709" s="90"/>
      <c r="J709" s="90"/>
      <c r="K709" s="157"/>
      <c r="L709" s="157"/>
      <c r="M709" s="158"/>
      <c r="O709" s="82">
        <f t="shared" si="123"/>
        <v>0</v>
      </c>
    </row>
    <row r="710" spans="1:15" ht="15.95" customHeight="1" x14ac:dyDescent="0.2">
      <c r="A710" s="30"/>
      <c r="B710" s="46"/>
      <c r="C710" s="41"/>
      <c r="D710" s="41"/>
      <c r="E710" s="90"/>
      <c r="F710" s="90"/>
      <c r="G710" s="90"/>
      <c r="H710" s="89"/>
      <c r="I710" s="90">
        <f>SUM(H708:H710)</f>
        <v>76.399999999999977</v>
      </c>
      <c r="J710" s="90"/>
      <c r="K710" s="157"/>
      <c r="L710" s="157"/>
      <c r="M710" s="158"/>
      <c r="O710" s="82">
        <f t="shared" ref="O710:O773" si="136">K710-J710</f>
        <v>0</v>
      </c>
    </row>
    <row r="711" spans="1:15" s="5" customFormat="1" ht="16.149999999999999" customHeight="1" x14ac:dyDescent="0.2">
      <c r="A711" s="30"/>
      <c r="B711" s="98" t="s">
        <v>467</v>
      </c>
      <c r="C711" s="32"/>
      <c r="D711" s="32"/>
      <c r="E711" s="89"/>
      <c r="F711" s="89"/>
      <c r="G711" s="89"/>
      <c r="H711" s="89">
        <f t="shared" ref="H711:H712" si="137">PRODUCT(D711:G711)</f>
        <v>0</v>
      </c>
      <c r="I711" s="89"/>
      <c r="J711" s="89"/>
      <c r="K711" s="157"/>
      <c r="L711" s="157"/>
      <c r="M711" s="158"/>
      <c r="O711" s="82">
        <f t="shared" si="136"/>
        <v>0</v>
      </c>
    </row>
    <row r="712" spans="1:15" ht="15.95" customHeight="1" x14ac:dyDescent="0.2">
      <c r="A712" s="30"/>
      <c r="B712" s="46"/>
      <c r="C712" s="41"/>
      <c r="D712" s="41">
        <v>1</v>
      </c>
      <c r="E712" s="90">
        <v>2</v>
      </c>
      <c r="F712" s="90">
        <v>3</v>
      </c>
      <c r="G712" s="109"/>
      <c r="H712" s="89">
        <f t="shared" si="137"/>
        <v>6</v>
      </c>
      <c r="I712" s="90"/>
      <c r="J712" s="90"/>
      <c r="K712" s="157"/>
      <c r="L712" s="157"/>
      <c r="M712" s="158"/>
      <c r="O712" s="82">
        <f t="shared" si="136"/>
        <v>0</v>
      </c>
    </row>
    <row r="713" spans="1:15" ht="15.95" customHeight="1" x14ac:dyDescent="0.2">
      <c r="A713" s="30"/>
      <c r="B713" s="46"/>
      <c r="C713" s="41"/>
      <c r="D713" s="41">
        <v>1</v>
      </c>
      <c r="E713" s="90">
        <v>0.9</v>
      </c>
      <c r="F713" s="90">
        <v>0.2</v>
      </c>
      <c r="G713" s="109"/>
      <c r="H713" s="89">
        <f t="shared" ref="H713" si="138">PRODUCT(D713:G713)</f>
        <v>0.18000000000000002</v>
      </c>
      <c r="I713" s="90"/>
      <c r="J713" s="90"/>
      <c r="K713" s="157"/>
      <c r="L713" s="157"/>
      <c r="M713" s="158"/>
      <c r="O713" s="82">
        <f t="shared" si="136"/>
        <v>0</v>
      </c>
    </row>
    <row r="714" spans="1:15" ht="15.95" customHeight="1" x14ac:dyDescent="0.2">
      <c r="A714" s="40"/>
      <c r="B714" s="46"/>
      <c r="C714" s="41"/>
      <c r="D714" s="41"/>
      <c r="E714" s="90"/>
      <c r="F714" s="90"/>
      <c r="G714" s="90"/>
      <c r="H714" s="90"/>
      <c r="I714" s="90">
        <f>SUM(H712:H713)</f>
        <v>6.18</v>
      </c>
      <c r="J714" s="90"/>
      <c r="K714" s="163"/>
      <c r="L714" s="163"/>
      <c r="M714" s="158"/>
      <c r="O714" s="82">
        <f t="shared" si="136"/>
        <v>0</v>
      </c>
    </row>
    <row r="715" spans="1:15" ht="16.5" customHeight="1" x14ac:dyDescent="0.2">
      <c r="A715" s="40"/>
      <c r="B715" s="45"/>
      <c r="C715" s="41"/>
      <c r="D715" s="41"/>
      <c r="E715" s="90"/>
      <c r="F715" s="90"/>
      <c r="G715" s="90"/>
      <c r="H715" s="90"/>
      <c r="I715" s="90"/>
      <c r="J715" s="90"/>
      <c r="K715" s="163"/>
      <c r="L715" s="163"/>
      <c r="M715" s="158"/>
      <c r="O715" s="82">
        <f t="shared" si="136"/>
        <v>0</v>
      </c>
    </row>
    <row r="716" spans="1:15" ht="15.95" customHeight="1" x14ac:dyDescent="0.2">
      <c r="A716" s="40" t="s">
        <v>198</v>
      </c>
      <c r="B716" s="50" t="s">
        <v>367</v>
      </c>
      <c r="C716" s="51" t="s">
        <v>4</v>
      </c>
      <c r="D716" s="51"/>
      <c r="E716" s="89"/>
      <c r="F716" s="89"/>
      <c r="G716" s="89"/>
      <c r="H716" s="89"/>
      <c r="I716" s="89"/>
      <c r="J716" s="89">
        <f>SUM(I717:I726)</f>
        <v>105.57</v>
      </c>
      <c r="K716" s="157">
        <v>108</v>
      </c>
      <c r="L716" s="157">
        <v>140</v>
      </c>
      <c r="M716" s="158">
        <f t="shared" si="128"/>
        <v>15120</v>
      </c>
      <c r="O716" s="82">
        <f t="shared" si="136"/>
        <v>2.4300000000000068</v>
      </c>
    </row>
    <row r="717" spans="1:15" s="5" customFormat="1" ht="16.149999999999999" customHeight="1" x14ac:dyDescent="0.2">
      <c r="A717" s="30"/>
      <c r="B717" s="98" t="s">
        <v>465</v>
      </c>
      <c r="C717" s="32"/>
      <c r="D717" s="32"/>
      <c r="E717" s="89"/>
      <c r="F717" s="89"/>
      <c r="G717" s="89"/>
      <c r="H717" s="89">
        <f t="shared" ref="H717:H724" si="139">PRODUCT(D717:G717)</f>
        <v>0</v>
      </c>
      <c r="I717" s="89"/>
      <c r="J717" s="89"/>
      <c r="K717" s="157"/>
      <c r="L717" s="157"/>
      <c r="M717" s="158"/>
      <c r="O717" s="82">
        <f t="shared" si="136"/>
        <v>0</v>
      </c>
    </row>
    <row r="718" spans="1:15" s="5" customFormat="1" ht="16.149999999999999" customHeight="1" x14ac:dyDescent="0.2">
      <c r="A718" s="30"/>
      <c r="B718" s="44" t="s">
        <v>485</v>
      </c>
      <c r="C718" s="41"/>
      <c r="D718" s="41">
        <v>1</v>
      </c>
      <c r="E718" s="109">
        <v>5.0999999999999996</v>
      </c>
      <c r="F718" s="109">
        <v>3.1</v>
      </c>
      <c r="G718" s="109"/>
      <c r="H718" s="89">
        <f t="shared" si="139"/>
        <v>15.809999999999999</v>
      </c>
      <c r="I718" s="89"/>
      <c r="K718" s="157"/>
      <c r="L718" s="157"/>
      <c r="M718" s="158"/>
      <c r="O718" s="82">
        <f t="shared" si="136"/>
        <v>0</v>
      </c>
    </row>
    <row r="719" spans="1:15" s="5" customFormat="1" ht="16.149999999999999" customHeight="1" x14ac:dyDescent="0.2">
      <c r="A719" s="30"/>
      <c r="B719" s="44" t="s">
        <v>486</v>
      </c>
      <c r="C719" s="41"/>
      <c r="D719" s="41">
        <v>1</v>
      </c>
      <c r="E719" s="109">
        <v>5.0999999999999996</v>
      </c>
      <c r="F719" s="109">
        <v>7.1</v>
      </c>
      <c r="G719" s="109"/>
      <c r="H719" s="89">
        <f t="shared" si="139"/>
        <v>36.209999999999994</v>
      </c>
      <c r="I719" s="89"/>
      <c r="K719" s="157"/>
      <c r="L719" s="157"/>
      <c r="M719" s="158"/>
      <c r="O719" s="82">
        <f t="shared" si="136"/>
        <v>0</v>
      </c>
    </row>
    <row r="720" spans="1:15" s="5" customFormat="1" ht="16.149999999999999" customHeight="1" x14ac:dyDescent="0.2">
      <c r="A720" s="30"/>
      <c r="B720" s="44" t="s">
        <v>487</v>
      </c>
      <c r="C720" s="41"/>
      <c r="D720" s="41">
        <v>2</v>
      </c>
      <c r="E720" s="109">
        <v>2.1</v>
      </c>
      <c r="F720" s="109">
        <v>1.9</v>
      </c>
      <c r="G720" s="109"/>
      <c r="H720" s="89">
        <f t="shared" si="139"/>
        <v>7.9799999999999995</v>
      </c>
      <c r="I720" s="89"/>
      <c r="K720" s="157"/>
      <c r="L720" s="157"/>
      <c r="M720" s="158"/>
      <c r="O720" s="82">
        <f t="shared" si="136"/>
        <v>0</v>
      </c>
    </row>
    <row r="721" spans="1:15" s="5" customFormat="1" ht="16.149999999999999" customHeight="1" x14ac:dyDescent="0.2">
      <c r="A721" s="30"/>
      <c r="B721" s="44" t="s">
        <v>488</v>
      </c>
      <c r="C721" s="41"/>
      <c r="D721" s="41">
        <v>1</v>
      </c>
      <c r="E721" s="109">
        <v>4.8</v>
      </c>
      <c r="F721" s="109">
        <v>2.5</v>
      </c>
      <c r="G721" s="109"/>
      <c r="H721" s="89">
        <f t="shared" si="139"/>
        <v>12</v>
      </c>
      <c r="I721" s="89"/>
      <c r="K721" s="157"/>
      <c r="L721" s="157"/>
      <c r="M721" s="158"/>
      <c r="O721" s="82">
        <f t="shared" si="136"/>
        <v>0</v>
      </c>
    </row>
    <row r="722" spans="1:15" s="5" customFormat="1" ht="16.149999999999999" customHeight="1" x14ac:dyDescent="0.2">
      <c r="A722" s="30"/>
      <c r="B722" s="44" t="s">
        <v>479</v>
      </c>
      <c r="C722" s="41"/>
      <c r="D722" s="41">
        <v>1</v>
      </c>
      <c r="E722" s="109">
        <v>4.3</v>
      </c>
      <c r="F722" s="109">
        <v>2.9</v>
      </c>
      <c r="G722" s="109"/>
      <c r="H722" s="89">
        <f t="shared" si="139"/>
        <v>12.469999999999999</v>
      </c>
      <c r="I722" s="89"/>
      <c r="K722" s="157"/>
      <c r="L722" s="157"/>
      <c r="M722" s="158"/>
      <c r="O722" s="82">
        <f t="shared" si="136"/>
        <v>0</v>
      </c>
    </row>
    <row r="723" spans="1:15" s="5" customFormat="1" ht="16.149999999999999" customHeight="1" x14ac:dyDescent="0.2">
      <c r="A723" s="30"/>
      <c r="B723" s="44" t="s">
        <v>496</v>
      </c>
      <c r="C723" s="41"/>
      <c r="D723" s="41">
        <v>1</v>
      </c>
      <c r="E723" s="109">
        <v>7.3</v>
      </c>
      <c r="F723" s="109">
        <v>2</v>
      </c>
      <c r="G723" s="109"/>
      <c r="H723" s="89">
        <f t="shared" si="139"/>
        <v>14.6</v>
      </c>
      <c r="I723" s="89"/>
      <c r="K723" s="157"/>
      <c r="L723" s="157"/>
      <c r="M723" s="158"/>
      <c r="O723" s="82">
        <f t="shared" si="136"/>
        <v>0</v>
      </c>
    </row>
    <row r="724" spans="1:15" s="5" customFormat="1" ht="16.149999999999999" customHeight="1" x14ac:dyDescent="0.2">
      <c r="A724" s="30"/>
      <c r="B724" s="44"/>
      <c r="C724" s="41"/>
      <c r="D724" s="41">
        <v>1</v>
      </c>
      <c r="E724" s="109">
        <v>5</v>
      </c>
      <c r="F724" s="109">
        <v>1.3</v>
      </c>
      <c r="G724" s="109"/>
      <c r="H724" s="89">
        <f t="shared" si="139"/>
        <v>6.5</v>
      </c>
      <c r="I724" s="89"/>
      <c r="K724" s="157"/>
      <c r="L724" s="157"/>
      <c r="M724" s="158"/>
      <c r="O724" s="82">
        <f t="shared" si="136"/>
        <v>0</v>
      </c>
    </row>
    <row r="725" spans="1:15" ht="15.95" customHeight="1" x14ac:dyDescent="0.2">
      <c r="A725" s="30"/>
      <c r="B725" s="46"/>
      <c r="C725" s="41"/>
      <c r="D725" s="41"/>
      <c r="E725" s="90"/>
      <c r="F725" s="90"/>
      <c r="G725" s="90"/>
      <c r="H725" s="89"/>
      <c r="I725" s="90">
        <f>SUM(H718:H724)</f>
        <v>105.57</v>
      </c>
      <c r="J725" s="90"/>
      <c r="K725" s="157"/>
      <c r="L725" s="157"/>
      <c r="M725" s="158"/>
      <c r="O725" s="82">
        <f t="shared" si="136"/>
        <v>0</v>
      </c>
    </row>
    <row r="726" spans="1:15" ht="16.5" customHeight="1" x14ac:dyDescent="0.2">
      <c r="A726" s="40"/>
      <c r="B726" s="45"/>
      <c r="C726" s="41"/>
      <c r="D726" s="41"/>
      <c r="E726" s="90"/>
      <c r="F726" s="90"/>
      <c r="G726" s="90"/>
      <c r="H726" s="90"/>
      <c r="I726" s="90"/>
      <c r="J726" s="90"/>
      <c r="K726" s="163"/>
      <c r="L726" s="163"/>
      <c r="M726" s="158"/>
      <c r="O726" s="82">
        <f t="shared" si="136"/>
        <v>0</v>
      </c>
    </row>
    <row r="727" spans="1:15" ht="15.95" customHeight="1" x14ac:dyDescent="0.2">
      <c r="A727" s="40" t="s">
        <v>199</v>
      </c>
      <c r="B727" s="52" t="s">
        <v>371</v>
      </c>
      <c r="C727" s="41" t="s">
        <v>1</v>
      </c>
      <c r="D727" s="41"/>
      <c r="E727" s="90"/>
      <c r="F727" s="90"/>
      <c r="G727" s="90"/>
      <c r="H727" s="90"/>
      <c r="I727" s="90"/>
      <c r="J727" s="90">
        <f>SUM(I730:I781)</f>
        <v>215.79999999999998</v>
      </c>
      <c r="K727" s="163">
        <v>220</v>
      </c>
      <c r="L727" s="163">
        <v>30</v>
      </c>
      <c r="M727" s="158">
        <f t="shared" si="128"/>
        <v>6600</v>
      </c>
      <c r="O727" s="82">
        <f t="shared" si="136"/>
        <v>4.2000000000000171</v>
      </c>
    </row>
    <row r="728" spans="1:15" s="5" customFormat="1" ht="16.149999999999999" customHeight="1" x14ac:dyDescent="0.2">
      <c r="A728" s="30"/>
      <c r="B728" s="98" t="s">
        <v>464</v>
      </c>
      <c r="C728" s="32"/>
      <c r="D728" s="32"/>
      <c r="E728" s="89"/>
      <c r="F728" s="89"/>
      <c r="G728" s="89"/>
      <c r="H728" s="89"/>
      <c r="I728" s="89"/>
      <c r="K728" s="157"/>
      <c r="L728" s="157"/>
      <c r="M728" s="158"/>
      <c r="O728" s="82">
        <f t="shared" si="136"/>
        <v>0</v>
      </c>
    </row>
    <row r="729" spans="1:15" s="5" customFormat="1" ht="16.149999999999999" customHeight="1" x14ac:dyDescent="0.2">
      <c r="A729" s="30"/>
      <c r="B729" s="105" t="s">
        <v>474</v>
      </c>
      <c r="C729" s="32"/>
      <c r="D729" s="32"/>
      <c r="E729" s="89"/>
      <c r="F729" s="89"/>
      <c r="G729" s="89"/>
      <c r="I729" s="89"/>
      <c r="K729" s="157"/>
      <c r="L729" s="157"/>
      <c r="M729" s="158"/>
      <c r="O729" s="82">
        <f t="shared" si="136"/>
        <v>0</v>
      </c>
    </row>
    <row r="730" spans="1:15" s="5" customFormat="1" ht="16.149999999999999" customHeight="1" x14ac:dyDescent="0.2">
      <c r="A730" s="30"/>
      <c r="B730" s="44" t="s">
        <v>494</v>
      </c>
      <c r="C730" s="41"/>
      <c r="D730" s="41">
        <v>4</v>
      </c>
      <c r="E730" s="109">
        <v>6.6</v>
      </c>
      <c r="F730" s="109"/>
      <c r="G730" s="109"/>
      <c r="H730" s="89">
        <f>PRODUCT(D730:G730)</f>
        <v>26.4</v>
      </c>
      <c r="I730" s="89"/>
      <c r="K730" s="157"/>
      <c r="L730" s="157"/>
      <c r="M730" s="158"/>
      <c r="O730" s="82">
        <f t="shared" si="136"/>
        <v>0</v>
      </c>
    </row>
    <row r="731" spans="1:15" s="5" customFormat="1" ht="16.149999999999999" customHeight="1" x14ac:dyDescent="0.2">
      <c r="A731" s="30"/>
      <c r="B731" s="44"/>
      <c r="C731" s="41"/>
      <c r="D731" s="41">
        <v>4</v>
      </c>
      <c r="E731" s="109">
        <v>8.6</v>
      </c>
      <c r="F731" s="109"/>
      <c r="G731" s="109"/>
      <c r="H731" s="89">
        <f t="shared" ref="H731:H779" si="140">PRODUCT(D731:G731)</f>
        <v>34.4</v>
      </c>
      <c r="I731" s="89"/>
      <c r="K731" s="157"/>
      <c r="L731" s="157"/>
      <c r="M731" s="158"/>
      <c r="O731" s="82">
        <f t="shared" si="136"/>
        <v>0</v>
      </c>
    </row>
    <row r="732" spans="1:15" s="5" customFormat="1" ht="16.149999999999999" customHeight="1" x14ac:dyDescent="0.2">
      <c r="A732" s="30"/>
      <c r="B732" s="110" t="s">
        <v>480</v>
      </c>
      <c r="C732" s="41"/>
      <c r="D732" s="41"/>
      <c r="E732" s="109"/>
      <c r="F732" s="109"/>
      <c r="G732" s="109"/>
      <c r="H732" s="89">
        <f t="shared" si="140"/>
        <v>0</v>
      </c>
      <c r="I732" s="89"/>
      <c r="K732" s="157"/>
      <c r="L732" s="157"/>
      <c r="M732" s="158"/>
      <c r="O732" s="82">
        <f t="shared" si="136"/>
        <v>0</v>
      </c>
    </row>
    <row r="733" spans="1:15" ht="15.95" customHeight="1" x14ac:dyDescent="0.2">
      <c r="A733" s="30"/>
      <c r="B733" s="41" t="s">
        <v>481</v>
      </c>
      <c r="C733" s="41"/>
      <c r="D733" s="41">
        <v>-1</v>
      </c>
      <c r="E733" s="90">
        <v>0.9</v>
      </c>
      <c r="F733" s="90"/>
      <c r="G733" s="90"/>
      <c r="H733" s="89">
        <f t="shared" si="140"/>
        <v>-0.9</v>
      </c>
      <c r="I733" s="89"/>
      <c r="J733" s="108"/>
      <c r="K733" s="157"/>
      <c r="L733" s="157"/>
      <c r="M733" s="158"/>
      <c r="O733" s="82">
        <f t="shared" si="136"/>
        <v>0</v>
      </c>
    </row>
    <row r="734" spans="1:15" ht="15.95" customHeight="1" x14ac:dyDescent="0.2">
      <c r="A734" s="30"/>
      <c r="B734" s="46"/>
      <c r="C734" s="41"/>
      <c r="D734" s="41"/>
      <c r="E734" s="90"/>
      <c r="F734" s="90"/>
      <c r="G734" s="90"/>
      <c r="H734" s="89">
        <f t="shared" si="140"/>
        <v>0</v>
      </c>
      <c r="I734" s="89"/>
      <c r="J734" s="108"/>
      <c r="K734" s="157"/>
      <c r="L734" s="157"/>
      <c r="M734" s="158"/>
      <c r="O734" s="82">
        <f t="shared" si="136"/>
        <v>0</v>
      </c>
    </row>
    <row r="735" spans="1:15" ht="15.95" customHeight="1" x14ac:dyDescent="0.2">
      <c r="A735" s="30"/>
      <c r="B735" s="105" t="s">
        <v>475</v>
      </c>
      <c r="C735" s="41"/>
      <c r="D735" s="41"/>
      <c r="E735" s="90"/>
      <c r="F735" s="90"/>
      <c r="G735" s="90"/>
      <c r="H735" s="89">
        <f t="shared" si="140"/>
        <v>0</v>
      </c>
      <c r="I735" s="89">
        <f t="shared" ref="I735" si="141">PRODUCT(E735:H735)</f>
        <v>0</v>
      </c>
      <c r="J735" s="90"/>
      <c r="K735" s="157"/>
      <c r="L735" s="157"/>
      <c r="M735" s="158"/>
      <c r="O735" s="82">
        <f t="shared" si="136"/>
        <v>0</v>
      </c>
    </row>
    <row r="736" spans="1:15" s="5" customFormat="1" ht="16.149999999999999" customHeight="1" x14ac:dyDescent="0.2">
      <c r="A736" s="30"/>
      <c r="B736" s="44" t="s">
        <v>494</v>
      </c>
      <c r="C736" s="41"/>
      <c r="D736" s="41">
        <v>4</v>
      </c>
      <c r="E736" s="109">
        <v>6.6</v>
      </c>
      <c r="F736" s="109"/>
      <c r="G736" s="109"/>
      <c r="H736" s="89">
        <f t="shared" si="140"/>
        <v>26.4</v>
      </c>
      <c r="I736" s="89"/>
      <c r="K736" s="157"/>
      <c r="L736" s="157"/>
      <c r="M736" s="158"/>
      <c r="O736" s="82">
        <f t="shared" si="136"/>
        <v>0</v>
      </c>
    </row>
    <row r="737" spans="1:15" s="5" customFormat="1" ht="16.149999999999999" customHeight="1" x14ac:dyDescent="0.2">
      <c r="A737" s="30"/>
      <c r="B737" s="44"/>
      <c r="C737" s="41"/>
      <c r="D737" s="41">
        <v>4</v>
      </c>
      <c r="E737" s="109">
        <v>8.6</v>
      </c>
      <c r="F737" s="109"/>
      <c r="G737" s="109"/>
      <c r="H737" s="89">
        <f t="shared" si="140"/>
        <v>34.4</v>
      </c>
      <c r="I737" s="89"/>
      <c r="K737" s="157"/>
      <c r="L737" s="157"/>
      <c r="M737" s="158"/>
      <c r="O737" s="82">
        <f t="shared" si="136"/>
        <v>0</v>
      </c>
    </row>
    <row r="738" spans="1:15" s="5" customFormat="1" ht="16.149999999999999" customHeight="1" x14ac:dyDescent="0.2">
      <c r="A738" s="30"/>
      <c r="B738" s="44"/>
      <c r="C738" s="41"/>
      <c r="D738" s="41">
        <v>4</v>
      </c>
      <c r="E738" s="109">
        <v>0.6</v>
      </c>
      <c r="F738" s="109"/>
      <c r="G738" s="109"/>
      <c r="H738" s="89">
        <f t="shared" si="140"/>
        <v>2.4</v>
      </c>
      <c r="I738" s="89"/>
      <c r="K738" s="157"/>
      <c r="L738" s="157"/>
      <c r="M738" s="158"/>
      <c r="O738" s="82">
        <f t="shared" si="136"/>
        <v>0</v>
      </c>
    </row>
    <row r="739" spans="1:15" s="5" customFormat="1" ht="16.149999999999999" customHeight="1" x14ac:dyDescent="0.2">
      <c r="A739" s="30"/>
      <c r="B739" s="110" t="s">
        <v>480</v>
      </c>
      <c r="C739" s="41"/>
      <c r="D739" s="41"/>
      <c r="E739" s="109"/>
      <c r="F739" s="109"/>
      <c r="G739" s="109"/>
      <c r="H739" s="89">
        <f t="shared" si="140"/>
        <v>0</v>
      </c>
      <c r="I739" s="89"/>
      <c r="K739" s="157"/>
      <c r="L739" s="157"/>
      <c r="M739" s="158"/>
      <c r="O739" s="82">
        <f t="shared" si="136"/>
        <v>0</v>
      </c>
    </row>
    <row r="740" spans="1:15" ht="15.95" customHeight="1" x14ac:dyDescent="0.2">
      <c r="A740" s="30"/>
      <c r="B740" s="41" t="s">
        <v>481</v>
      </c>
      <c r="C740" s="41"/>
      <c r="D740" s="41">
        <v>-1</v>
      </c>
      <c r="E740" s="90">
        <v>0.9</v>
      </c>
      <c r="F740" s="90"/>
      <c r="G740" s="90"/>
      <c r="H740" s="89">
        <f t="shared" si="140"/>
        <v>-0.9</v>
      </c>
      <c r="I740" s="89"/>
      <c r="J740" s="108"/>
      <c r="K740" s="157"/>
      <c r="L740" s="157"/>
      <c r="M740" s="158"/>
      <c r="O740" s="82">
        <f t="shared" si="136"/>
        <v>0</v>
      </c>
    </row>
    <row r="741" spans="1:15" ht="15.95" customHeight="1" x14ac:dyDescent="0.2">
      <c r="A741" s="30"/>
      <c r="B741" s="46"/>
      <c r="C741" s="41"/>
      <c r="D741" s="41"/>
      <c r="E741" s="90"/>
      <c r="F741" s="90"/>
      <c r="G741" s="90"/>
      <c r="H741" s="89">
        <f t="shared" si="140"/>
        <v>0</v>
      </c>
      <c r="I741" s="89">
        <f>SUM(H729:H740)</f>
        <v>122.19999999999999</v>
      </c>
      <c r="J741" s="108"/>
      <c r="K741" s="157"/>
      <c r="L741" s="157"/>
      <c r="M741" s="158"/>
      <c r="O741" s="82">
        <f t="shared" si="136"/>
        <v>0</v>
      </c>
    </row>
    <row r="742" spans="1:15" ht="15.95" customHeight="1" x14ac:dyDescent="0.2">
      <c r="A742" s="30"/>
      <c r="B742" s="46"/>
      <c r="C742" s="41"/>
      <c r="D742" s="41"/>
      <c r="E742" s="90"/>
      <c r="F742" s="90"/>
      <c r="G742" s="90"/>
      <c r="H742" s="89">
        <f t="shared" si="140"/>
        <v>0</v>
      </c>
      <c r="I742" s="89">
        <f t="shared" ref="I742" si="142">PRODUCT(E742:H742)</f>
        <v>0</v>
      </c>
      <c r="J742" s="90"/>
      <c r="K742" s="157"/>
      <c r="L742" s="157"/>
      <c r="M742" s="158"/>
      <c r="O742" s="82">
        <f t="shared" si="136"/>
        <v>0</v>
      </c>
    </row>
    <row r="743" spans="1:15" s="5" customFormat="1" ht="16.149999999999999" customHeight="1" x14ac:dyDescent="0.2">
      <c r="A743" s="30"/>
      <c r="B743" s="98" t="s">
        <v>465</v>
      </c>
      <c r="C743" s="32"/>
      <c r="D743" s="32"/>
      <c r="E743" s="89"/>
      <c r="F743" s="89"/>
      <c r="G743" s="89"/>
      <c r="H743" s="89">
        <f t="shared" si="140"/>
        <v>0</v>
      </c>
      <c r="I743" s="89"/>
      <c r="J743" s="89"/>
      <c r="K743" s="157"/>
      <c r="L743" s="157"/>
      <c r="M743" s="158"/>
      <c r="O743" s="82">
        <f t="shared" si="136"/>
        <v>0</v>
      </c>
    </row>
    <row r="744" spans="1:15" s="5" customFormat="1" ht="16.149999999999999" customHeight="1" x14ac:dyDescent="0.2">
      <c r="A744" s="30"/>
      <c r="B744" s="44" t="s">
        <v>485</v>
      </c>
      <c r="C744" s="41"/>
      <c r="D744" s="41">
        <v>2</v>
      </c>
      <c r="E744" s="109">
        <v>5.0999999999999996</v>
      </c>
      <c r="F744" s="109"/>
      <c r="G744" s="109"/>
      <c r="H744" s="89">
        <f t="shared" si="140"/>
        <v>10.199999999999999</v>
      </c>
      <c r="I744" s="89"/>
      <c r="K744" s="157"/>
      <c r="L744" s="157"/>
      <c r="M744" s="158"/>
      <c r="O744" s="82">
        <f t="shared" si="136"/>
        <v>0</v>
      </c>
    </row>
    <row r="745" spans="1:15" ht="15.95" customHeight="1" x14ac:dyDescent="0.2">
      <c r="A745" s="30"/>
      <c r="B745" s="46"/>
      <c r="C745" s="41"/>
      <c r="D745" s="41">
        <v>2</v>
      </c>
      <c r="E745" s="90">
        <v>3.1</v>
      </c>
      <c r="F745" s="90"/>
      <c r="G745" s="109"/>
      <c r="H745" s="89">
        <f t="shared" si="140"/>
        <v>6.2</v>
      </c>
      <c r="I745" s="90"/>
      <c r="J745" s="90"/>
      <c r="K745" s="157"/>
      <c r="L745" s="157"/>
      <c r="M745" s="158"/>
      <c r="O745" s="82">
        <f t="shared" si="136"/>
        <v>0</v>
      </c>
    </row>
    <row r="746" spans="1:15" s="5" customFormat="1" ht="16.149999999999999" customHeight="1" x14ac:dyDescent="0.2">
      <c r="A746" s="30"/>
      <c r="B746" s="110" t="s">
        <v>480</v>
      </c>
      <c r="C746" s="41"/>
      <c r="D746" s="41"/>
      <c r="E746" s="109"/>
      <c r="F746" s="109"/>
      <c r="G746" s="109"/>
      <c r="H746" s="89">
        <f t="shared" si="140"/>
        <v>0</v>
      </c>
      <c r="I746" s="89"/>
      <c r="K746" s="157"/>
      <c r="L746" s="157"/>
      <c r="M746" s="158"/>
      <c r="O746" s="82">
        <f t="shared" si="136"/>
        <v>0</v>
      </c>
    </row>
    <row r="747" spans="1:15" ht="15.95" customHeight="1" x14ac:dyDescent="0.2">
      <c r="A747" s="30"/>
      <c r="B747" s="41" t="s">
        <v>481</v>
      </c>
      <c r="C747" s="41"/>
      <c r="D747" s="41">
        <v>-1</v>
      </c>
      <c r="E747" s="90">
        <v>0.9</v>
      </c>
      <c r="F747" s="90"/>
      <c r="G747" s="90"/>
      <c r="H747" s="89">
        <f t="shared" si="140"/>
        <v>-0.9</v>
      </c>
      <c r="I747" s="89"/>
      <c r="J747" s="108"/>
      <c r="K747" s="157"/>
      <c r="L747" s="157"/>
      <c r="M747" s="158"/>
      <c r="O747" s="82">
        <f t="shared" si="136"/>
        <v>0</v>
      </c>
    </row>
    <row r="748" spans="1:15" ht="15.95" customHeight="1" x14ac:dyDescent="0.2">
      <c r="A748" s="30"/>
      <c r="B748" s="41"/>
      <c r="C748" s="41"/>
      <c r="D748" s="41"/>
      <c r="E748" s="90"/>
      <c r="F748" s="90"/>
      <c r="G748" s="90"/>
      <c r="H748" s="89">
        <f t="shared" si="140"/>
        <v>0</v>
      </c>
      <c r="I748" s="89"/>
      <c r="J748" s="108"/>
      <c r="K748" s="157"/>
      <c r="L748" s="157"/>
      <c r="M748" s="158"/>
      <c r="O748" s="82">
        <f t="shared" si="136"/>
        <v>0</v>
      </c>
    </row>
    <row r="749" spans="1:15" s="5" customFormat="1" ht="16.149999999999999" customHeight="1" x14ac:dyDescent="0.2">
      <c r="A749" s="30"/>
      <c r="B749" s="44" t="s">
        <v>486</v>
      </c>
      <c r="C749" s="41"/>
      <c r="D749" s="41">
        <v>2</v>
      </c>
      <c r="E749" s="109">
        <v>5.0999999999999996</v>
      </c>
      <c r="F749" s="109"/>
      <c r="G749" s="109"/>
      <c r="H749" s="89">
        <f t="shared" si="140"/>
        <v>10.199999999999999</v>
      </c>
      <c r="I749" s="89"/>
      <c r="K749" s="157"/>
      <c r="L749" s="157"/>
      <c r="M749" s="158"/>
      <c r="O749" s="82">
        <f t="shared" si="136"/>
        <v>0</v>
      </c>
    </row>
    <row r="750" spans="1:15" ht="15.95" customHeight="1" x14ac:dyDescent="0.2">
      <c r="A750" s="30"/>
      <c r="B750" s="46"/>
      <c r="C750" s="41"/>
      <c r="D750" s="41">
        <v>2</v>
      </c>
      <c r="E750" s="90">
        <v>7.1</v>
      </c>
      <c r="F750" s="90"/>
      <c r="G750" s="109"/>
      <c r="H750" s="89">
        <f t="shared" si="140"/>
        <v>14.2</v>
      </c>
      <c r="I750" s="90"/>
      <c r="J750" s="90"/>
      <c r="K750" s="157"/>
      <c r="L750" s="157"/>
      <c r="M750" s="158"/>
      <c r="O750" s="82">
        <f t="shared" si="136"/>
        <v>0</v>
      </c>
    </row>
    <row r="751" spans="1:15" s="5" customFormat="1" ht="16.149999999999999" customHeight="1" x14ac:dyDescent="0.2">
      <c r="A751" s="30"/>
      <c r="B751" s="110" t="s">
        <v>480</v>
      </c>
      <c r="C751" s="41"/>
      <c r="D751" s="41"/>
      <c r="E751" s="109"/>
      <c r="F751" s="109"/>
      <c r="G751" s="109"/>
      <c r="H751" s="89">
        <f t="shared" si="140"/>
        <v>0</v>
      </c>
      <c r="I751" s="89"/>
      <c r="K751" s="157"/>
      <c r="L751" s="157"/>
      <c r="M751" s="158"/>
      <c r="O751" s="82">
        <f t="shared" si="136"/>
        <v>0</v>
      </c>
    </row>
    <row r="752" spans="1:15" ht="15.95" customHeight="1" x14ac:dyDescent="0.2">
      <c r="A752" s="30"/>
      <c r="B752" s="41" t="s">
        <v>481</v>
      </c>
      <c r="C752" s="41"/>
      <c r="D752" s="41">
        <v>-1</v>
      </c>
      <c r="E752" s="90">
        <v>1.8</v>
      </c>
      <c r="F752" s="90"/>
      <c r="G752" s="90"/>
      <c r="H752" s="89">
        <f t="shared" si="140"/>
        <v>-1.8</v>
      </c>
      <c r="I752" s="89"/>
      <c r="J752" s="108"/>
      <c r="K752" s="157"/>
      <c r="L752" s="157"/>
      <c r="M752" s="158"/>
      <c r="O752" s="82">
        <f t="shared" si="136"/>
        <v>0</v>
      </c>
    </row>
    <row r="753" spans="1:15" ht="15.95" customHeight="1" x14ac:dyDescent="0.2">
      <c r="A753" s="30"/>
      <c r="B753" s="46"/>
      <c r="C753" s="41"/>
      <c r="D753" s="41"/>
      <c r="E753" s="90"/>
      <c r="F753" s="90"/>
      <c r="G753" s="90"/>
      <c r="H753" s="89">
        <f t="shared" si="140"/>
        <v>0</v>
      </c>
      <c r="I753" s="90"/>
      <c r="J753" s="90"/>
      <c r="K753" s="157"/>
      <c r="L753" s="157"/>
      <c r="M753" s="158"/>
      <c r="O753" s="82">
        <f t="shared" si="136"/>
        <v>0</v>
      </c>
    </row>
    <row r="754" spans="1:15" s="5" customFormat="1" ht="16.149999999999999" customHeight="1" x14ac:dyDescent="0.2">
      <c r="A754" s="30"/>
      <c r="B754" s="44" t="s">
        <v>488</v>
      </c>
      <c r="C754" s="41"/>
      <c r="D754" s="41">
        <v>2</v>
      </c>
      <c r="E754" s="109">
        <v>4.8</v>
      </c>
      <c r="F754" s="109"/>
      <c r="G754" s="109"/>
      <c r="H754" s="89">
        <f t="shared" si="140"/>
        <v>9.6</v>
      </c>
      <c r="I754" s="89"/>
      <c r="K754" s="157"/>
      <c r="L754" s="157"/>
      <c r="M754" s="158"/>
      <c r="O754" s="82">
        <f t="shared" si="136"/>
        <v>0</v>
      </c>
    </row>
    <row r="755" spans="1:15" ht="15.95" customHeight="1" x14ac:dyDescent="0.2">
      <c r="A755" s="30"/>
      <c r="B755" s="46"/>
      <c r="C755" s="41"/>
      <c r="D755" s="41">
        <v>2</v>
      </c>
      <c r="E755" s="90">
        <v>2.5</v>
      </c>
      <c r="F755" s="90"/>
      <c r="G755" s="109"/>
      <c r="H755" s="89">
        <f t="shared" si="140"/>
        <v>5</v>
      </c>
      <c r="I755" s="90"/>
      <c r="J755" s="90"/>
      <c r="K755" s="157"/>
      <c r="L755" s="157"/>
      <c r="M755" s="158"/>
      <c r="O755" s="82">
        <f t="shared" si="136"/>
        <v>0</v>
      </c>
    </row>
    <row r="756" spans="1:15" s="5" customFormat="1" ht="16.149999999999999" customHeight="1" x14ac:dyDescent="0.2">
      <c r="A756" s="30"/>
      <c r="B756" s="110" t="s">
        <v>480</v>
      </c>
      <c r="C756" s="41"/>
      <c r="D756" s="41"/>
      <c r="E756" s="109"/>
      <c r="F756" s="109"/>
      <c r="G756" s="109"/>
      <c r="H756" s="89">
        <f t="shared" si="140"/>
        <v>0</v>
      </c>
      <c r="I756" s="89"/>
      <c r="K756" s="157"/>
      <c r="L756" s="157"/>
      <c r="M756" s="158"/>
      <c r="O756" s="82">
        <f t="shared" si="136"/>
        <v>0</v>
      </c>
    </row>
    <row r="757" spans="1:15" ht="15.95" customHeight="1" x14ac:dyDescent="0.2">
      <c r="A757" s="30"/>
      <c r="B757" s="41" t="s">
        <v>481</v>
      </c>
      <c r="C757" s="41"/>
      <c r="D757" s="41">
        <v>-2</v>
      </c>
      <c r="E757" s="90">
        <v>0.9</v>
      </c>
      <c r="F757" s="90"/>
      <c r="G757" s="90"/>
      <c r="H757" s="89">
        <f t="shared" si="140"/>
        <v>-1.8</v>
      </c>
      <c r="I757" s="89"/>
      <c r="J757" s="108"/>
      <c r="K757" s="157"/>
      <c r="L757" s="157"/>
      <c r="M757" s="158"/>
      <c r="O757" s="82">
        <f t="shared" si="136"/>
        <v>0</v>
      </c>
    </row>
    <row r="758" spans="1:15" ht="15.95" customHeight="1" x14ac:dyDescent="0.2">
      <c r="A758" s="30"/>
      <c r="B758" s="41"/>
      <c r="C758" s="41"/>
      <c r="D758" s="41"/>
      <c r="E758" s="90"/>
      <c r="F758" s="90"/>
      <c r="G758" s="90"/>
      <c r="H758" s="89">
        <f t="shared" si="140"/>
        <v>0</v>
      </c>
      <c r="I758" s="89"/>
      <c r="J758" s="108"/>
      <c r="K758" s="157"/>
      <c r="L758" s="157"/>
      <c r="M758" s="158"/>
      <c r="O758" s="82">
        <f t="shared" si="136"/>
        <v>0</v>
      </c>
    </row>
    <row r="759" spans="1:15" s="5" customFormat="1" ht="16.149999999999999" customHeight="1" x14ac:dyDescent="0.2">
      <c r="A759" s="30"/>
      <c r="B759" s="44" t="s">
        <v>479</v>
      </c>
      <c r="C759" s="41"/>
      <c r="D759" s="41">
        <v>2</v>
      </c>
      <c r="E759" s="109">
        <v>4.3</v>
      </c>
      <c r="F759" s="109"/>
      <c r="G759" s="109"/>
      <c r="H759" s="89">
        <f t="shared" si="140"/>
        <v>8.6</v>
      </c>
      <c r="I759" s="89"/>
      <c r="K759" s="157"/>
      <c r="L759" s="157"/>
      <c r="M759" s="158"/>
      <c r="O759" s="82">
        <f t="shared" si="136"/>
        <v>0</v>
      </c>
    </row>
    <row r="760" spans="1:15" ht="15.95" customHeight="1" x14ac:dyDescent="0.2">
      <c r="A760" s="30"/>
      <c r="B760" s="46"/>
      <c r="C760" s="41"/>
      <c r="D760" s="41">
        <v>2</v>
      </c>
      <c r="E760" s="90">
        <v>2.9</v>
      </c>
      <c r="F760" s="90"/>
      <c r="G760" s="109"/>
      <c r="H760" s="89">
        <f t="shared" si="140"/>
        <v>5.8</v>
      </c>
      <c r="I760" s="90"/>
      <c r="J760" s="90"/>
      <c r="K760" s="157"/>
      <c r="L760" s="157"/>
      <c r="M760" s="158"/>
      <c r="O760" s="82">
        <f t="shared" si="136"/>
        <v>0</v>
      </c>
    </row>
    <row r="761" spans="1:15" s="5" customFormat="1" ht="16.149999999999999" customHeight="1" x14ac:dyDescent="0.2">
      <c r="A761" s="30"/>
      <c r="B761" s="110" t="s">
        <v>480</v>
      </c>
      <c r="C761" s="41"/>
      <c r="D761" s="41"/>
      <c r="E761" s="109"/>
      <c r="F761" s="109"/>
      <c r="G761" s="109"/>
      <c r="H761" s="89">
        <f t="shared" si="140"/>
        <v>0</v>
      </c>
      <c r="I761" s="89"/>
      <c r="K761" s="157"/>
      <c r="L761" s="157"/>
      <c r="M761" s="158"/>
      <c r="O761" s="82">
        <f t="shared" si="136"/>
        <v>0</v>
      </c>
    </row>
    <row r="762" spans="1:15" ht="15.95" customHeight="1" x14ac:dyDescent="0.2">
      <c r="A762" s="30"/>
      <c r="B762" s="41" t="s">
        <v>481</v>
      </c>
      <c r="C762" s="41"/>
      <c r="D762" s="41">
        <v>-1</v>
      </c>
      <c r="E762" s="90">
        <v>0.9</v>
      </c>
      <c r="F762" s="90"/>
      <c r="G762" s="90"/>
      <c r="H762" s="89">
        <f t="shared" si="140"/>
        <v>-0.9</v>
      </c>
      <c r="I762" s="89"/>
      <c r="J762" s="108"/>
      <c r="K762" s="157"/>
      <c r="L762" s="157"/>
      <c r="M762" s="158"/>
      <c r="O762" s="82">
        <f t="shared" si="136"/>
        <v>0</v>
      </c>
    </row>
    <row r="763" spans="1:15" ht="15.95" customHeight="1" x14ac:dyDescent="0.2">
      <c r="A763" s="30"/>
      <c r="B763" s="41"/>
      <c r="C763" s="41"/>
      <c r="D763" s="41"/>
      <c r="E763" s="90"/>
      <c r="F763" s="90"/>
      <c r="G763" s="90"/>
      <c r="H763" s="89">
        <f t="shared" si="140"/>
        <v>0</v>
      </c>
      <c r="I763" s="89"/>
      <c r="J763" s="108"/>
      <c r="K763" s="157"/>
      <c r="L763" s="157"/>
      <c r="M763" s="158"/>
      <c r="O763" s="82">
        <f t="shared" si="136"/>
        <v>0</v>
      </c>
    </row>
    <row r="764" spans="1:15" s="5" customFormat="1" ht="16.149999999999999" customHeight="1" x14ac:dyDescent="0.2">
      <c r="A764" s="30"/>
      <c r="B764" s="44" t="s">
        <v>496</v>
      </c>
      <c r="C764" s="41"/>
      <c r="D764" s="41">
        <v>2</v>
      </c>
      <c r="E764" s="109">
        <v>7.1</v>
      </c>
      <c r="F764" s="109"/>
      <c r="G764" s="109"/>
      <c r="H764" s="89">
        <f t="shared" si="140"/>
        <v>14.2</v>
      </c>
      <c r="I764" s="89"/>
      <c r="K764" s="157"/>
      <c r="L764" s="157"/>
      <c r="M764" s="158"/>
      <c r="O764" s="82">
        <f t="shared" si="136"/>
        <v>0</v>
      </c>
    </row>
    <row r="765" spans="1:15" s="5" customFormat="1" ht="16.149999999999999" customHeight="1" x14ac:dyDescent="0.2">
      <c r="A765" s="30"/>
      <c r="B765" s="44"/>
      <c r="C765" s="41"/>
      <c r="D765" s="41">
        <v>2</v>
      </c>
      <c r="E765" s="109">
        <v>7</v>
      </c>
      <c r="F765" s="109"/>
      <c r="G765" s="109"/>
      <c r="H765" s="89">
        <f t="shared" si="140"/>
        <v>14</v>
      </c>
      <c r="I765" s="89"/>
      <c r="K765" s="157"/>
      <c r="L765" s="157"/>
      <c r="M765" s="158"/>
      <c r="O765" s="82">
        <f t="shared" si="136"/>
        <v>0</v>
      </c>
    </row>
    <row r="766" spans="1:15" s="5" customFormat="1" ht="16.149999999999999" customHeight="1" x14ac:dyDescent="0.2">
      <c r="A766" s="30"/>
      <c r="B766" s="110" t="s">
        <v>480</v>
      </c>
      <c r="C766" s="41"/>
      <c r="D766" s="41"/>
      <c r="E766" s="109"/>
      <c r="F766" s="109"/>
      <c r="G766" s="109"/>
      <c r="H766" s="89">
        <f t="shared" si="140"/>
        <v>0</v>
      </c>
      <c r="I766" s="89"/>
      <c r="K766" s="157"/>
      <c r="L766" s="157"/>
      <c r="M766" s="158"/>
      <c r="O766" s="82">
        <f t="shared" si="136"/>
        <v>0</v>
      </c>
    </row>
    <row r="767" spans="1:15" ht="15.95" customHeight="1" x14ac:dyDescent="0.2">
      <c r="A767" s="30"/>
      <c r="B767" s="41" t="s">
        <v>481</v>
      </c>
      <c r="C767" s="41"/>
      <c r="D767" s="41">
        <v>-1</v>
      </c>
      <c r="E767" s="90">
        <v>2</v>
      </c>
      <c r="F767" s="90"/>
      <c r="G767" s="90"/>
      <c r="H767" s="89">
        <f t="shared" si="140"/>
        <v>-2</v>
      </c>
      <c r="I767" s="89"/>
      <c r="J767" s="108"/>
      <c r="K767" s="157"/>
      <c r="L767" s="157"/>
      <c r="M767" s="158"/>
      <c r="O767" s="82">
        <f t="shared" si="136"/>
        <v>0</v>
      </c>
    </row>
    <row r="768" spans="1:15" ht="15.95" customHeight="1" x14ac:dyDescent="0.2">
      <c r="A768" s="30"/>
      <c r="B768" s="41" t="s">
        <v>481</v>
      </c>
      <c r="C768" s="41"/>
      <c r="D768" s="41">
        <v>-1</v>
      </c>
      <c r="E768" s="90">
        <v>1.8</v>
      </c>
      <c r="F768" s="90"/>
      <c r="G768" s="90"/>
      <c r="H768" s="89">
        <f t="shared" si="140"/>
        <v>-1.8</v>
      </c>
      <c r="I768" s="89"/>
      <c r="J768" s="108"/>
      <c r="K768" s="157"/>
      <c r="L768" s="157"/>
      <c r="M768" s="158"/>
      <c r="O768" s="82">
        <f t="shared" si="136"/>
        <v>0</v>
      </c>
    </row>
    <row r="769" spans="1:15" ht="15.95" customHeight="1" x14ac:dyDescent="0.2">
      <c r="A769" s="30"/>
      <c r="B769" s="41" t="s">
        <v>481</v>
      </c>
      <c r="C769" s="41"/>
      <c r="D769" s="41">
        <v>-3</v>
      </c>
      <c r="E769" s="90">
        <v>0.9</v>
      </c>
      <c r="F769" s="90"/>
      <c r="G769" s="90"/>
      <c r="H769" s="89">
        <f t="shared" si="140"/>
        <v>-2.7</v>
      </c>
      <c r="I769" s="89"/>
      <c r="J769" s="108"/>
      <c r="K769" s="157"/>
      <c r="L769" s="157"/>
      <c r="M769" s="158"/>
      <c r="O769" s="82">
        <f t="shared" si="136"/>
        <v>0</v>
      </c>
    </row>
    <row r="770" spans="1:15" ht="15.95" customHeight="1" x14ac:dyDescent="0.2">
      <c r="A770" s="30"/>
      <c r="B770" s="41"/>
      <c r="C770" s="41"/>
      <c r="D770" s="41">
        <v>-2</v>
      </c>
      <c r="E770" s="90">
        <v>0.8</v>
      </c>
      <c r="F770" s="90"/>
      <c r="G770" s="90"/>
      <c r="H770" s="89">
        <f t="shared" si="140"/>
        <v>-1.6</v>
      </c>
      <c r="I770" s="89"/>
      <c r="J770" s="108"/>
      <c r="K770" s="157"/>
      <c r="L770" s="157"/>
      <c r="M770" s="158"/>
      <c r="O770" s="82">
        <f t="shared" si="136"/>
        <v>0</v>
      </c>
    </row>
    <row r="771" spans="1:15" ht="15.95" customHeight="1" x14ac:dyDescent="0.2">
      <c r="A771" s="30"/>
      <c r="B771" s="46"/>
      <c r="C771" s="41"/>
      <c r="D771" s="41"/>
      <c r="E771" s="90"/>
      <c r="F771" s="90"/>
      <c r="G771" s="90"/>
      <c r="H771" s="89">
        <f t="shared" si="140"/>
        <v>0</v>
      </c>
      <c r="I771" s="90">
        <f>SUM(H743:H771)</f>
        <v>84.5</v>
      </c>
      <c r="J771" s="90"/>
      <c r="K771" s="157"/>
      <c r="L771" s="157"/>
      <c r="M771" s="158"/>
      <c r="O771" s="82">
        <f t="shared" si="136"/>
        <v>0</v>
      </c>
    </row>
    <row r="772" spans="1:15" ht="15.95" customHeight="1" x14ac:dyDescent="0.2">
      <c r="A772" s="30"/>
      <c r="B772" s="46"/>
      <c r="C772" s="41"/>
      <c r="D772" s="41"/>
      <c r="E772" s="90"/>
      <c r="F772" s="90"/>
      <c r="G772" s="90"/>
      <c r="H772" s="89">
        <f t="shared" si="140"/>
        <v>0</v>
      </c>
      <c r="I772" s="90"/>
      <c r="J772" s="90"/>
      <c r="K772" s="157"/>
      <c r="L772" s="157"/>
      <c r="M772" s="158"/>
      <c r="O772" s="82">
        <f t="shared" si="136"/>
        <v>0</v>
      </c>
    </row>
    <row r="773" spans="1:15" s="5" customFormat="1" ht="16.149999999999999" customHeight="1" x14ac:dyDescent="0.2">
      <c r="A773" s="30"/>
      <c r="B773" s="98" t="s">
        <v>466</v>
      </c>
      <c r="C773" s="32"/>
      <c r="D773" s="32"/>
      <c r="E773" s="89"/>
      <c r="F773" s="89"/>
      <c r="G773" s="89"/>
      <c r="H773" s="89">
        <f t="shared" si="140"/>
        <v>0</v>
      </c>
      <c r="I773" s="89"/>
      <c r="J773" s="89"/>
      <c r="K773" s="157"/>
      <c r="L773" s="157"/>
      <c r="M773" s="158"/>
      <c r="O773" s="82">
        <f t="shared" si="136"/>
        <v>0</v>
      </c>
    </row>
    <row r="774" spans="1:15" ht="15.95" customHeight="1" x14ac:dyDescent="0.2">
      <c r="A774" s="30"/>
      <c r="B774" s="46"/>
      <c r="C774" s="41"/>
      <c r="D774" s="41"/>
      <c r="E774" s="90"/>
      <c r="F774" s="90"/>
      <c r="G774" s="90"/>
      <c r="H774" s="89">
        <f t="shared" si="140"/>
        <v>0</v>
      </c>
      <c r="I774" s="90">
        <f>SUM(H774:H774)</f>
        <v>0</v>
      </c>
      <c r="J774" s="90"/>
      <c r="K774" s="157"/>
      <c r="L774" s="157"/>
      <c r="M774" s="158"/>
      <c r="O774" s="82">
        <f t="shared" ref="O774:O837" si="143">K774-J774</f>
        <v>0</v>
      </c>
    </row>
    <row r="775" spans="1:15" s="5" customFormat="1" ht="16.149999999999999" customHeight="1" x14ac:dyDescent="0.2">
      <c r="A775" s="30"/>
      <c r="B775" s="98" t="s">
        <v>467</v>
      </c>
      <c r="C775" s="32"/>
      <c r="D775" s="32"/>
      <c r="E775" s="89"/>
      <c r="F775" s="89"/>
      <c r="G775" s="89"/>
      <c r="H775" s="89">
        <f t="shared" si="140"/>
        <v>0</v>
      </c>
      <c r="I775" s="89"/>
      <c r="J775" s="89"/>
      <c r="K775" s="157"/>
      <c r="L775" s="157"/>
      <c r="M775" s="158"/>
      <c r="O775" s="82">
        <f t="shared" si="143"/>
        <v>0</v>
      </c>
    </row>
    <row r="776" spans="1:15" ht="15.95" customHeight="1" x14ac:dyDescent="0.2">
      <c r="A776" s="30"/>
      <c r="B776" s="46"/>
      <c r="C776" s="41"/>
      <c r="D776" s="41">
        <v>2</v>
      </c>
      <c r="E776" s="90">
        <v>2</v>
      </c>
      <c r="F776" s="90"/>
      <c r="G776" s="109"/>
      <c r="H776" s="89">
        <f t="shared" si="140"/>
        <v>4</v>
      </c>
      <c r="I776" s="90"/>
      <c r="J776" s="90"/>
      <c r="K776" s="157"/>
      <c r="L776" s="157"/>
      <c r="M776" s="158"/>
      <c r="O776" s="82">
        <f t="shared" si="143"/>
        <v>0</v>
      </c>
    </row>
    <row r="777" spans="1:15" ht="15.95" customHeight="1" x14ac:dyDescent="0.2">
      <c r="A777" s="30"/>
      <c r="B777" s="46"/>
      <c r="C777" s="41"/>
      <c r="D777" s="41">
        <v>2</v>
      </c>
      <c r="E777" s="90">
        <v>3</v>
      </c>
      <c r="F777" s="90"/>
      <c r="G777" s="109"/>
      <c r="H777" s="89">
        <f t="shared" si="140"/>
        <v>6</v>
      </c>
      <c r="I777" s="90"/>
      <c r="J777" s="108"/>
      <c r="K777" s="157"/>
      <c r="L777" s="157"/>
      <c r="M777" s="158"/>
      <c r="O777" s="82">
        <f t="shared" si="143"/>
        <v>0</v>
      </c>
    </row>
    <row r="778" spans="1:15" s="5" customFormat="1" ht="16.149999999999999" customHeight="1" x14ac:dyDescent="0.2">
      <c r="A778" s="30"/>
      <c r="B778" s="110" t="s">
        <v>480</v>
      </c>
      <c r="C778" s="41"/>
      <c r="D778" s="41"/>
      <c r="E778" s="109"/>
      <c r="F778" s="109"/>
      <c r="G778" s="109"/>
      <c r="H778" s="89">
        <f t="shared" si="140"/>
        <v>0</v>
      </c>
      <c r="I778" s="89"/>
      <c r="K778" s="157"/>
      <c r="L778" s="157"/>
      <c r="M778" s="158"/>
      <c r="O778" s="82">
        <f t="shared" si="143"/>
        <v>0</v>
      </c>
    </row>
    <row r="779" spans="1:15" ht="15.95" customHeight="1" x14ac:dyDescent="0.2">
      <c r="A779" s="30"/>
      <c r="B779" s="41" t="s">
        <v>481</v>
      </c>
      <c r="C779" s="41"/>
      <c r="D779" s="41">
        <v>-1</v>
      </c>
      <c r="E779" s="90">
        <v>0.9</v>
      </c>
      <c r="F779" s="90"/>
      <c r="G779" s="90"/>
      <c r="H779" s="89">
        <f t="shared" si="140"/>
        <v>-0.9</v>
      </c>
      <c r="I779" s="89"/>
      <c r="J779" s="108"/>
      <c r="K779" s="157"/>
      <c r="L779" s="157"/>
      <c r="M779" s="158"/>
      <c r="O779" s="82">
        <f t="shared" si="143"/>
        <v>0</v>
      </c>
    </row>
    <row r="780" spans="1:15" ht="15.95" customHeight="1" x14ac:dyDescent="0.2">
      <c r="A780" s="40"/>
      <c r="B780" s="46"/>
      <c r="C780" s="41"/>
      <c r="D780" s="41"/>
      <c r="E780" s="90"/>
      <c r="F780" s="90"/>
      <c r="G780" s="90"/>
      <c r="H780" s="90"/>
      <c r="I780" s="90">
        <f>SUM(H776:H779)</f>
        <v>9.1</v>
      </c>
      <c r="J780" s="90"/>
      <c r="K780" s="163"/>
      <c r="L780" s="163"/>
      <c r="M780" s="158"/>
      <c r="O780" s="82">
        <f t="shared" si="143"/>
        <v>0</v>
      </c>
    </row>
    <row r="781" spans="1:15" ht="15.95" customHeight="1" x14ac:dyDescent="0.2">
      <c r="A781" s="40"/>
      <c r="B781" s="117"/>
      <c r="C781" s="41"/>
      <c r="D781" s="41"/>
      <c r="E781" s="90"/>
      <c r="F781" s="90"/>
      <c r="G781" s="90"/>
      <c r="H781" s="90"/>
      <c r="I781" s="90"/>
      <c r="J781" s="90"/>
      <c r="K781" s="163"/>
      <c r="L781" s="163"/>
      <c r="M781" s="158"/>
      <c r="O781" s="82">
        <f t="shared" si="143"/>
        <v>0</v>
      </c>
    </row>
    <row r="782" spans="1:15" ht="15.95" customHeight="1" x14ac:dyDescent="0.2">
      <c r="A782" s="40"/>
      <c r="B782" s="117"/>
      <c r="C782" s="41"/>
      <c r="D782" s="41"/>
      <c r="E782" s="90"/>
      <c r="F782" s="90"/>
      <c r="G782" s="90"/>
      <c r="H782" s="90"/>
      <c r="I782" s="90"/>
      <c r="J782" s="90"/>
      <c r="K782" s="163"/>
      <c r="L782" s="163"/>
      <c r="M782" s="158"/>
      <c r="O782" s="82">
        <f t="shared" si="143"/>
        <v>0</v>
      </c>
    </row>
    <row r="783" spans="1:15" ht="15.95" customHeight="1" x14ac:dyDescent="0.2">
      <c r="A783" s="40" t="s">
        <v>200</v>
      </c>
      <c r="B783" s="46" t="s">
        <v>512</v>
      </c>
      <c r="C783" s="41" t="s">
        <v>4</v>
      </c>
      <c r="D783" s="41"/>
      <c r="E783" s="90"/>
      <c r="F783" s="90"/>
      <c r="G783" s="90"/>
      <c r="H783" s="90"/>
      <c r="I783" s="90"/>
      <c r="J783" s="90">
        <f>SUM(I784:I804)</f>
        <v>102.47999999999999</v>
      </c>
      <c r="K783" s="163">
        <v>110</v>
      </c>
      <c r="L783" s="163">
        <v>90</v>
      </c>
      <c r="M783" s="158">
        <f t="shared" si="128"/>
        <v>9900</v>
      </c>
      <c r="O783" s="82">
        <f t="shared" si="143"/>
        <v>7.5200000000000102</v>
      </c>
    </row>
    <row r="784" spans="1:15" ht="15.95" customHeight="1" x14ac:dyDescent="0.2">
      <c r="A784" s="40"/>
      <c r="B784" s="41" t="s">
        <v>502</v>
      </c>
      <c r="C784" s="41"/>
      <c r="D784" s="41"/>
      <c r="E784" s="90"/>
      <c r="F784" s="90"/>
      <c r="G784" s="90"/>
      <c r="H784" s="89">
        <f t="shared" ref="H784:H795" si="144">PRODUCT(D784:G784)</f>
        <v>0</v>
      </c>
      <c r="I784" s="90"/>
      <c r="J784" s="108"/>
      <c r="K784" s="163"/>
      <c r="L784" s="163"/>
      <c r="M784" s="158"/>
      <c r="O784" s="82">
        <f t="shared" si="143"/>
        <v>0</v>
      </c>
    </row>
    <row r="785" spans="1:15" s="5" customFormat="1" ht="16.149999999999999" customHeight="1" x14ac:dyDescent="0.2">
      <c r="A785" s="30"/>
      <c r="B785" s="98" t="s">
        <v>464</v>
      </c>
      <c r="C785" s="32"/>
      <c r="D785" s="32"/>
      <c r="E785" s="89"/>
      <c r="F785" s="89"/>
      <c r="G785" s="89"/>
      <c r="H785" s="89">
        <f t="shared" si="144"/>
        <v>0</v>
      </c>
      <c r="I785" s="89"/>
      <c r="K785" s="157"/>
      <c r="L785" s="157"/>
      <c r="M785" s="158"/>
      <c r="O785" s="82">
        <f t="shared" si="143"/>
        <v>0</v>
      </c>
    </row>
    <row r="786" spans="1:15" s="5" customFormat="1" ht="16.149999999999999" customHeight="1" x14ac:dyDescent="0.2">
      <c r="A786" s="30"/>
      <c r="B786" s="105" t="s">
        <v>474</v>
      </c>
      <c r="C786" s="32"/>
      <c r="D786" s="32"/>
      <c r="E786" s="89"/>
      <c r="F786" s="89"/>
      <c r="G786" s="89"/>
      <c r="H786" s="89">
        <f t="shared" si="144"/>
        <v>0</v>
      </c>
      <c r="I786" s="89"/>
      <c r="K786" s="157"/>
      <c r="L786" s="157"/>
      <c r="M786" s="158"/>
      <c r="O786" s="82">
        <f t="shared" si="143"/>
        <v>0</v>
      </c>
    </row>
    <row r="787" spans="1:15" s="5" customFormat="1" ht="16.149999999999999" customHeight="1" x14ac:dyDescent="0.2">
      <c r="A787" s="30"/>
      <c r="B787" s="44" t="s">
        <v>495</v>
      </c>
      <c r="C787" s="41"/>
      <c r="D787" s="41">
        <v>2</v>
      </c>
      <c r="E787" s="109">
        <v>4</v>
      </c>
      <c r="F787" s="109"/>
      <c r="G787" s="109">
        <v>1</v>
      </c>
      <c r="H787" s="89">
        <f t="shared" si="144"/>
        <v>8</v>
      </c>
      <c r="I787" s="89"/>
      <c r="K787" s="157"/>
      <c r="L787" s="157"/>
      <c r="M787" s="158"/>
      <c r="O787" s="82">
        <f t="shared" si="143"/>
        <v>0</v>
      </c>
    </row>
    <row r="788" spans="1:15" s="5" customFormat="1" ht="16.149999999999999" customHeight="1" x14ac:dyDescent="0.2">
      <c r="A788" s="30"/>
      <c r="B788" s="44"/>
      <c r="C788" s="41"/>
      <c r="D788" s="41">
        <v>1</v>
      </c>
      <c r="E788" s="109">
        <v>3.4</v>
      </c>
      <c r="F788" s="109"/>
      <c r="G788" s="109">
        <v>1</v>
      </c>
      <c r="H788" s="89">
        <f t="shared" si="144"/>
        <v>3.4</v>
      </c>
      <c r="I788" s="89"/>
      <c r="K788" s="157"/>
      <c r="L788" s="157"/>
      <c r="M788" s="158"/>
      <c r="O788" s="82">
        <f t="shared" si="143"/>
        <v>0</v>
      </c>
    </row>
    <row r="789" spans="1:15" s="5" customFormat="1" ht="16.149999999999999" customHeight="1" x14ac:dyDescent="0.2">
      <c r="A789" s="30"/>
      <c r="B789" s="44"/>
      <c r="C789" s="41"/>
      <c r="D789" s="41">
        <v>2</v>
      </c>
      <c r="E789" s="109">
        <v>2.5</v>
      </c>
      <c r="F789" s="109"/>
      <c r="G789" s="109">
        <v>1</v>
      </c>
      <c r="H789" s="89">
        <f t="shared" si="144"/>
        <v>5</v>
      </c>
      <c r="I789" s="89"/>
      <c r="K789" s="157"/>
      <c r="L789" s="157"/>
      <c r="M789" s="158"/>
      <c r="O789" s="82">
        <f t="shared" si="143"/>
        <v>0</v>
      </c>
    </row>
    <row r="790" spans="1:15" s="5" customFormat="1" ht="16.149999999999999" customHeight="1" x14ac:dyDescent="0.2">
      <c r="A790" s="30"/>
      <c r="B790" s="44" t="s">
        <v>497</v>
      </c>
      <c r="C790" s="41"/>
      <c r="D790" s="41">
        <v>1</v>
      </c>
      <c r="E790" s="109">
        <f>21.4</f>
        <v>21.4</v>
      </c>
      <c r="F790" s="109"/>
      <c r="G790" s="109">
        <v>1</v>
      </c>
      <c r="H790" s="89">
        <f t="shared" si="144"/>
        <v>21.4</v>
      </c>
      <c r="I790" s="89"/>
      <c r="K790" s="157"/>
      <c r="L790" s="157"/>
      <c r="M790" s="158"/>
      <c r="O790" s="82">
        <f t="shared" si="143"/>
        <v>0</v>
      </c>
    </row>
    <row r="791" spans="1:15" s="5" customFormat="1" ht="16.149999999999999" customHeight="1" x14ac:dyDescent="0.2">
      <c r="A791" s="30"/>
      <c r="B791" s="44"/>
      <c r="C791" s="41"/>
      <c r="D791" s="41">
        <f>4*4</f>
        <v>16</v>
      </c>
      <c r="E791" s="109">
        <v>0.3</v>
      </c>
      <c r="F791" s="109"/>
      <c r="G791" s="109">
        <v>1</v>
      </c>
      <c r="H791" s="89">
        <f t="shared" si="144"/>
        <v>4.8</v>
      </c>
      <c r="I791" s="89"/>
      <c r="K791" s="157"/>
      <c r="L791" s="157"/>
      <c r="M791" s="158"/>
      <c r="O791" s="82">
        <f t="shared" si="143"/>
        <v>0</v>
      </c>
    </row>
    <row r="792" spans="1:15" s="5" customFormat="1" ht="16.149999999999999" customHeight="1" x14ac:dyDescent="0.2">
      <c r="A792" s="30"/>
      <c r="B792" s="110" t="s">
        <v>480</v>
      </c>
      <c r="C792" s="41"/>
      <c r="D792" s="41"/>
      <c r="E792" s="109"/>
      <c r="F792" s="109"/>
      <c r="G792" s="109"/>
      <c r="H792" s="89">
        <f t="shared" si="144"/>
        <v>0</v>
      </c>
      <c r="I792" s="89"/>
      <c r="K792" s="157"/>
      <c r="L792" s="157"/>
      <c r="M792" s="158"/>
      <c r="O792" s="82">
        <f t="shared" si="143"/>
        <v>0</v>
      </c>
    </row>
    <row r="793" spans="1:15" ht="15.95" customHeight="1" x14ac:dyDescent="0.2">
      <c r="A793" s="30"/>
      <c r="B793" s="41" t="s">
        <v>481</v>
      </c>
      <c r="C793" s="41"/>
      <c r="D793" s="41">
        <v>-2</v>
      </c>
      <c r="E793" s="90">
        <v>0.9</v>
      </c>
      <c r="F793" s="90"/>
      <c r="G793" s="109">
        <v>1</v>
      </c>
      <c r="H793" s="89">
        <f t="shared" si="144"/>
        <v>-1.8</v>
      </c>
      <c r="I793" s="89"/>
      <c r="J793" s="108"/>
      <c r="K793" s="157"/>
      <c r="L793" s="157"/>
      <c r="M793" s="158"/>
      <c r="O793" s="82">
        <f t="shared" si="143"/>
        <v>0</v>
      </c>
    </row>
    <row r="794" spans="1:15" ht="15.95" customHeight="1" x14ac:dyDescent="0.2">
      <c r="A794" s="30"/>
      <c r="B794" s="46"/>
      <c r="C794" s="41"/>
      <c r="D794" s="41"/>
      <c r="E794" s="90"/>
      <c r="F794" s="90"/>
      <c r="G794" s="90"/>
      <c r="H794" s="89">
        <f t="shared" si="144"/>
        <v>0</v>
      </c>
      <c r="I794" s="89"/>
      <c r="J794" s="108"/>
      <c r="K794" s="157"/>
      <c r="L794" s="157"/>
      <c r="M794" s="158"/>
      <c r="O794" s="82">
        <f t="shared" si="143"/>
        <v>0</v>
      </c>
    </row>
    <row r="795" spans="1:15" ht="15.95" customHeight="1" x14ac:dyDescent="0.2">
      <c r="A795" s="30"/>
      <c r="B795" s="105" t="s">
        <v>475</v>
      </c>
      <c r="C795" s="41"/>
      <c r="D795" s="41"/>
      <c r="E795" s="90"/>
      <c r="F795" s="90"/>
      <c r="G795" s="90"/>
      <c r="H795" s="89">
        <f t="shared" si="144"/>
        <v>0</v>
      </c>
      <c r="I795" s="89">
        <f t="shared" ref="I795" si="145">PRODUCT(E795:H795)</f>
        <v>0</v>
      </c>
      <c r="J795" s="90"/>
      <c r="K795" s="157"/>
      <c r="L795" s="157"/>
      <c r="M795" s="158"/>
      <c r="O795" s="82">
        <f t="shared" si="143"/>
        <v>0</v>
      </c>
    </row>
    <row r="796" spans="1:15" s="5" customFormat="1" ht="16.149999999999999" customHeight="1" x14ac:dyDescent="0.2">
      <c r="A796" s="30"/>
      <c r="B796" s="44" t="s">
        <v>495</v>
      </c>
      <c r="C796" s="41"/>
      <c r="D796" s="41">
        <v>2</v>
      </c>
      <c r="E796" s="109">
        <v>4</v>
      </c>
      <c r="F796" s="109"/>
      <c r="G796" s="109">
        <v>1</v>
      </c>
      <c r="H796" s="89">
        <f t="shared" ref="H796:H802" si="146">PRODUCT(D796:G796)</f>
        <v>8</v>
      </c>
      <c r="I796" s="89"/>
      <c r="K796" s="157"/>
      <c r="L796" s="157"/>
      <c r="M796" s="158"/>
      <c r="O796" s="82">
        <f t="shared" si="143"/>
        <v>0</v>
      </c>
    </row>
    <row r="797" spans="1:15" s="5" customFormat="1" ht="16.149999999999999" customHeight="1" x14ac:dyDescent="0.2">
      <c r="A797" s="30"/>
      <c r="B797" s="44"/>
      <c r="C797" s="41"/>
      <c r="D797" s="41">
        <v>1</v>
      </c>
      <c r="E797" s="109">
        <v>3.4</v>
      </c>
      <c r="F797" s="109"/>
      <c r="G797" s="109">
        <v>1</v>
      </c>
      <c r="H797" s="89">
        <f t="shared" si="146"/>
        <v>3.4</v>
      </c>
      <c r="I797" s="89"/>
      <c r="K797" s="157"/>
      <c r="L797" s="157"/>
      <c r="M797" s="158"/>
      <c r="O797" s="82">
        <f t="shared" si="143"/>
        <v>0</v>
      </c>
    </row>
    <row r="798" spans="1:15" s="5" customFormat="1" ht="16.149999999999999" customHeight="1" x14ac:dyDescent="0.2">
      <c r="A798" s="30"/>
      <c r="B798" s="44"/>
      <c r="C798" s="41"/>
      <c r="D798" s="41">
        <v>1</v>
      </c>
      <c r="E798" s="109">
        <v>1.8</v>
      </c>
      <c r="F798" s="109"/>
      <c r="G798" s="109">
        <v>1</v>
      </c>
      <c r="H798" s="89">
        <f t="shared" si="146"/>
        <v>1.8</v>
      </c>
      <c r="I798" s="89"/>
      <c r="K798" s="157"/>
      <c r="L798" s="157"/>
      <c r="M798" s="158"/>
      <c r="O798" s="82">
        <f t="shared" si="143"/>
        <v>0</v>
      </c>
    </row>
    <row r="799" spans="1:15" s="5" customFormat="1" ht="16.149999999999999" customHeight="1" x14ac:dyDescent="0.2">
      <c r="A799" s="30"/>
      <c r="B799" s="44" t="s">
        <v>497</v>
      </c>
      <c r="C799" s="41"/>
      <c r="D799" s="41">
        <v>2</v>
      </c>
      <c r="E799" s="109">
        <f>21.4</f>
        <v>21.4</v>
      </c>
      <c r="F799" s="109"/>
      <c r="G799" s="109">
        <v>1.1000000000000001</v>
      </c>
      <c r="H799" s="89">
        <f t="shared" si="146"/>
        <v>47.08</v>
      </c>
      <c r="I799" s="89"/>
      <c r="K799" s="157"/>
      <c r="L799" s="157"/>
      <c r="M799" s="158"/>
      <c r="O799" s="82">
        <f t="shared" si="143"/>
        <v>0</v>
      </c>
    </row>
    <row r="800" spans="1:15" s="5" customFormat="1" ht="16.149999999999999" customHeight="1" x14ac:dyDescent="0.2">
      <c r="A800" s="30"/>
      <c r="B800" s="44"/>
      <c r="C800" s="41"/>
      <c r="D800" s="41">
        <v>2</v>
      </c>
      <c r="E800" s="109">
        <v>2</v>
      </c>
      <c r="F800" s="109"/>
      <c r="G800" s="109">
        <v>1.2</v>
      </c>
      <c r="H800" s="89">
        <f t="shared" si="146"/>
        <v>4.8</v>
      </c>
      <c r="I800" s="89"/>
      <c r="K800" s="157"/>
      <c r="L800" s="157"/>
      <c r="M800" s="158"/>
      <c r="O800" s="82">
        <f t="shared" si="143"/>
        <v>0</v>
      </c>
    </row>
    <row r="801" spans="1:15" s="5" customFormat="1" ht="16.149999999999999" customHeight="1" x14ac:dyDescent="0.2">
      <c r="A801" s="30"/>
      <c r="B801" s="110" t="s">
        <v>480</v>
      </c>
      <c r="C801" s="41"/>
      <c r="D801" s="41"/>
      <c r="E801" s="109"/>
      <c r="F801" s="109"/>
      <c r="G801" s="109"/>
      <c r="H801" s="89">
        <f t="shared" si="146"/>
        <v>0</v>
      </c>
      <c r="I801" s="89"/>
      <c r="K801" s="157"/>
      <c r="L801" s="157"/>
      <c r="M801" s="158"/>
      <c r="O801" s="82">
        <f t="shared" si="143"/>
        <v>0</v>
      </c>
    </row>
    <row r="802" spans="1:15" ht="15.95" customHeight="1" x14ac:dyDescent="0.2">
      <c r="A802" s="30"/>
      <c r="B802" s="41" t="s">
        <v>481</v>
      </c>
      <c r="C802" s="41"/>
      <c r="D802" s="41">
        <v>-2</v>
      </c>
      <c r="E802" s="90">
        <v>0.9</v>
      </c>
      <c r="F802" s="90"/>
      <c r="G802" s="109">
        <v>1</v>
      </c>
      <c r="H802" s="89">
        <f t="shared" si="146"/>
        <v>-1.8</v>
      </c>
      <c r="I802" s="89"/>
      <c r="J802" s="108"/>
      <c r="K802" s="157"/>
      <c r="L802" s="157"/>
      <c r="M802" s="158"/>
      <c r="O802" s="82">
        <f t="shared" si="143"/>
        <v>0</v>
      </c>
    </row>
    <row r="803" spans="1:15" ht="15.95" customHeight="1" x14ac:dyDescent="0.2">
      <c r="A803" s="30"/>
      <c r="B803" s="41" t="s">
        <v>425</v>
      </c>
      <c r="C803" s="41"/>
      <c r="D803" s="41">
        <v>-1</v>
      </c>
      <c r="E803" s="90">
        <v>1.6</v>
      </c>
      <c r="F803" s="90"/>
      <c r="G803" s="109">
        <v>1</v>
      </c>
      <c r="H803" s="89">
        <f t="shared" ref="H803" si="147">PRODUCT(D803:G803)</f>
        <v>-1.6</v>
      </c>
      <c r="I803" s="89"/>
      <c r="J803" s="108"/>
      <c r="K803" s="157"/>
      <c r="L803" s="157"/>
      <c r="M803" s="158"/>
      <c r="O803" s="82">
        <f t="shared" si="143"/>
        <v>0</v>
      </c>
    </row>
    <row r="804" spans="1:15" ht="15.95" customHeight="1" x14ac:dyDescent="0.2">
      <c r="A804" s="30"/>
      <c r="B804" s="46"/>
      <c r="C804" s="41"/>
      <c r="D804" s="41"/>
      <c r="E804" s="90"/>
      <c r="F804" s="90"/>
      <c r="G804" s="90"/>
      <c r="H804" s="89"/>
      <c r="I804" s="89">
        <f>SUM(H786:H803)</f>
        <v>102.47999999999999</v>
      </c>
      <c r="J804" s="90"/>
      <c r="K804" s="157"/>
      <c r="L804" s="157"/>
      <c r="M804" s="158"/>
      <c r="O804" s="82">
        <f t="shared" si="143"/>
        <v>0</v>
      </c>
    </row>
    <row r="805" spans="1:15" ht="15.95" customHeight="1" x14ac:dyDescent="0.2">
      <c r="A805" s="40"/>
      <c r="B805" s="46"/>
      <c r="C805" s="41"/>
      <c r="D805" s="41"/>
      <c r="E805" s="90"/>
      <c r="F805" s="90"/>
      <c r="G805" s="90"/>
      <c r="H805" s="90"/>
      <c r="I805" s="90"/>
      <c r="J805" s="90"/>
      <c r="K805" s="163"/>
      <c r="L805" s="163"/>
      <c r="M805" s="158"/>
      <c r="O805" s="82">
        <f t="shared" si="143"/>
        <v>0</v>
      </c>
    </row>
    <row r="806" spans="1:15" ht="18" customHeight="1" x14ac:dyDescent="0.2">
      <c r="A806" s="40" t="s">
        <v>339</v>
      </c>
      <c r="B806" s="54" t="s">
        <v>553</v>
      </c>
      <c r="C806" s="41" t="s">
        <v>1</v>
      </c>
      <c r="D806" s="41"/>
      <c r="E806" s="90"/>
      <c r="F806" s="90"/>
      <c r="G806" s="90"/>
      <c r="H806" s="90"/>
      <c r="I806" s="90"/>
      <c r="J806" s="90">
        <f>SUM(I807:I810)</f>
        <v>32</v>
      </c>
      <c r="K806" s="163">
        <v>40</v>
      </c>
      <c r="L806" s="163">
        <v>120</v>
      </c>
      <c r="M806" s="158">
        <f t="shared" si="128"/>
        <v>4800</v>
      </c>
      <c r="O806" s="82">
        <f t="shared" si="143"/>
        <v>8</v>
      </c>
    </row>
    <row r="807" spans="1:15" s="5" customFormat="1" ht="16.149999999999999" customHeight="1" x14ac:dyDescent="0.2">
      <c r="A807" s="30"/>
      <c r="B807" s="105" t="s">
        <v>474</v>
      </c>
      <c r="C807" s="32"/>
      <c r="D807" s="32"/>
      <c r="E807" s="89"/>
      <c r="F807" s="89"/>
      <c r="G807" s="89"/>
      <c r="H807" s="89">
        <f t="shared" ref="H807:H808" si="148">PRODUCT(D807:G807)</f>
        <v>0</v>
      </c>
      <c r="I807" s="89"/>
      <c r="K807" s="157"/>
      <c r="L807" s="157"/>
      <c r="M807" s="158"/>
      <c r="O807" s="82">
        <f t="shared" si="143"/>
        <v>0</v>
      </c>
    </row>
    <row r="808" spans="1:15" s="5" customFormat="1" ht="16.149999999999999" customHeight="1" x14ac:dyDescent="0.2">
      <c r="A808" s="30"/>
      <c r="B808" s="44" t="s">
        <v>495</v>
      </c>
      <c r="C808" s="41"/>
      <c r="D808" s="41">
        <v>20</v>
      </c>
      <c r="E808" s="109">
        <v>1.6</v>
      </c>
      <c r="F808" s="109"/>
      <c r="G808" s="109"/>
      <c r="H808" s="89">
        <f t="shared" si="148"/>
        <v>32</v>
      </c>
      <c r="I808" s="89"/>
      <c r="K808" s="157"/>
      <c r="L808" s="157"/>
      <c r="M808" s="158"/>
      <c r="O808" s="82">
        <f t="shared" si="143"/>
        <v>0</v>
      </c>
    </row>
    <row r="809" spans="1:15" ht="18" customHeight="1" x14ac:dyDescent="0.2">
      <c r="A809" s="40"/>
      <c r="B809" s="54"/>
      <c r="C809" s="41"/>
      <c r="D809" s="41"/>
      <c r="E809" s="90"/>
      <c r="F809" s="90"/>
      <c r="G809" s="90"/>
      <c r="H809" s="90"/>
      <c r="I809" s="90">
        <f>SUM(H807:H809)</f>
        <v>32</v>
      </c>
      <c r="J809" s="90"/>
      <c r="K809" s="163"/>
      <c r="L809" s="163"/>
      <c r="M809" s="158"/>
      <c r="O809" s="82">
        <f t="shared" si="143"/>
        <v>0</v>
      </c>
    </row>
    <row r="810" spans="1:15" ht="18" customHeight="1" x14ac:dyDescent="0.2">
      <c r="A810" s="40"/>
      <c r="B810" s="54"/>
      <c r="C810" s="41"/>
      <c r="D810" s="41"/>
      <c r="E810" s="90"/>
      <c r="F810" s="90"/>
      <c r="G810" s="90"/>
      <c r="H810" s="90"/>
      <c r="I810" s="90"/>
      <c r="J810" s="90"/>
      <c r="K810" s="163"/>
      <c r="L810" s="163"/>
      <c r="M810" s="158"/>
      <c r="O810" s="82">
        <f t="shared" si="143"/>
        <v>0</v>
      </c>
    </row>
    <row r="811" spans="1:15" ht="18" customHeight="1" x14ac:dyDescent="0.2">
      <c r="A811" s="40" t="s">
        <v>203</v>
      </c>
      <c r="B811" s="45" t="s">
        <v>273</v>
      </c>
      <c r="C811" s="41" t="s">
        <v>4</v>
      </c>
      <c r="D811" s="41"/>
      <c r="E811" s="90"/>
      <c r="F811" s="90"/>
      <c r="G811" s="90"/>
      <c r="H811" s="90"/>
      <c r="I811" s="90"/>
      <c r="J811" s="90">
        <f>SUM(I813:I837)</f>
        <v>315.80999999999995</v>
      </c>
      <c r="K811" s="163">
        <v>316</v>
      </c>
      <c r="L811" s="163">
        <v>140</v>
      </c>
      <c r="M811" s="158">
        <f t="shared" si="128"/>
        <v>44240</v>
      </c>
      <c r="O811" s="82">
        <f t="shared" si="143"/>
        <v>0.19000000000005457</v>
      </c>
    </row>
    <row r="812" spans="1:15" s="5" customFormat="1" ht="16.149999999999999" customHeight="1" x14ac:dyDescent="0.2">
      <c r="A812" s="30"/>
      <c r="B812" s="98" t="s">
        <v>464</v>
      </c>
      <c r="C812" s="32"/>
      <c r="D812" s="32"/>
      <c r="E812" s="89"/>
      <c r="F812" s="89"/>
      <c r="G812" s="89"/>
      <c r="H812" s="89"/>
      <c r="I812" s="89"/>
      <c r="K812" s="157"/>
      <c r="L812" s="157"/>
      <c r="M812" s="158"/>
      <c r="O812" s="82">
        <f t="shared" si="143"/>
        <v>0</v>
      </c>
    </row>
    <row r="813" spans="1:15" ht="15.95" customHeight="1" x14ac:dyDescent="0.2">
      <c r="A813" s="30"/>
      <c r="B813" s="46"/>
      <c r="C813" s="41"/>
      <c r="D813" s="41"/>
      <c r="E813" s="90"/>
      <c r="F813" s="90"/>
      <c r="G813" s="90"/>
      <c r="H813" s="89"/>
      <c r="I813" s="89"/>
      <c r="J813" s="108"/>
      <c r="K813" s="157"/>
      <c r="L813" s="157"/>
      <c r="M813" s="158"/>
      <c r="O813" s="82">
        <f t="shared" si="143"/>
        <v>0</v>
      </c>
    </row>
    <row r="814" spans="1:15" ht="15.95" customHeight="1" x14ac:dyDescent="0.2">
      <c r="A814" s="30"/>
      <c r="B814" s="46"/>
      <c r="C814" s="41"/>
      <c r="D814" s="41"/>
      <c r="E814" s="90"/>
      <c r="F814" s="90"/>
      <c r="G814" s="90"/>
      <c r="H814" s="89"/>
      <c r="I814" s="89">
        <f t="shared" ref="I814" si="149">PRODUCT(E814:H814)</f>
        <v>0</v>
      </c>
      <c r="J814" s="90"/>
      <c r="K814" s="157"/>
      <c r="L814" s="157"/>
      <c r="M814" s="158"/>
      <c r="O814" s="82">
        <f t="shared" si="143"/>
        <v>0</v>
      </c>
    </row>
    <row r="815" spans="1:15" s="5" customFormat="1" ht="16.149999999999999" customHeight="1" x14ac:dyDescent="0.2">
      <c r="A815" s="30"/>
      <c r="B815" s="98" t="s">
        <v>465</v>
      </c>
      <c r="C815" s="32"/>
      <c r="D815" s="32"/>
      <c r="E815" s="89"/>
      <c r="F815" s="89"/>
      <c r="G815" s="89"/>
      <c r="H815" s="89">
        <f t="shared" ref="H815" si="150">PRODUCT(D815:G815)</f>
        <v>0</v>
      </c>
      <c r="I815" s="89"/>
      <c r="J815" s="89"/>
      <c r="K815" s="157"/>
      <c r="L815" s="157"/>
      <c r="M815" s="158"/>
      <c r="O815" s="82">
        <f t="shared" si="143"/>
        <v>0</v>
      </c>
    </row>
    <row r="816" spans="1:15" s="5" customFormat="1" ht="16.149999999999999" customHeight="1" x14ac:dyDescent="0.2">
      <c r="A816" s="30"/>
      <c r="B816" s="44" t="s">
        <v>487</v>
      </c>
      <c r="C816" s="41"/>
      <c r="D816" s="41">
        <v>4</v>
      </c>
      <c r="E816" s="109">
        <v>2.1</v>
      </c>
      <c r="F816" s="109"/>
      <c r="G816" s="109">
        <v>2.2999999999999998</v>
      </c>
      <c r="H816" s="89">
        <f t="shared" ref="H816:H820" si="151">PRODUCT(D816:G816)</f>
        <v>19.32</v>
      </c>
      <c r="I816" s="89"/>
      <c r="K816" s="157"/>
      <c r="L816" s="157"/>
      <c r="M816" s="158"/>
      <c r="O816" s="82">
        <f t="shared" si="143"/>
        <v>0</v>
      </c>
    </row>
    <row r="817" spans="1:15" ht="15.95" customHeight="1" x14ac:dyDescent="0.2">
      <c r="A817" s="30"/>
      <c r="B817" s="46"/>
      <c r="C817" s="41"/>
      <c r="D817" s="41">
        <v>4</v>
      </c>
      <c r="E817" s="90">
        <v>1.9</v>
      </c>
      <c r="F817" s="90"/>
      <c r="G817" s="109">
        <v>2.2999999999999998</v>
      </c>
      <c r="H817" s="89">
        <f t="shared" si="151"/>
        <v>17.479999999999997</v>
      </c>
      <c r="I817" s="90"/>
      <c r="J817" s="90"/>
      <c r="K817" s="157"/>
      <c r="L817" s="157"/>
      <c r="M817" s="158"/>
      <c r="O817" s="82">
        <f t="shared" si="143"/>
        <v>0</v>
      </c>
    </row>
    <row r="818" spans="1:15" s="5" customFormat="1" ht="16.149999999999999" customHeight="1" x14ac:dyDescent="0.2">
      <c r="A818" s="30"/>
      <c r="B818" s="110" t="s">
        <v>480</v>
      </c>
      <c r="C818" s="41"/>
      <c r="D818" s="41"/>
      <c r="E818" s="109"/>
      <c r="F818" s="109"/>
      <c r="G818" s="109"/>
      <c r="H818" s="89">
        <f t="shared" si="151"/>
        <v>0</v>
      </c>
      <c r="I818" s="89"/>
      <c r="K818" s="157"/>
      <c r="L818" s="157"/>
      <c r="M818" s="158"/>
      <c r="O818" s="82">
        <f t="shared" si="143"/>
        <v>0</v>
      </c>
    </row>
    <row r="819" spans="1:15" ht="15.95" customHeight="1" x14ac:dyDescent="0.2">
      <c r="A819" s="30"/>
      <c r="B819" s="41" t="s">
        <v>424</v>
      </c>
      <c r="C819" s="41"/>
      <c r="D819" s="41">
        <v>-2</v>
      </c>
      <c r="E819" s="90">
        <v>0.9</v>
      </c>
      <c r="F819" s="90"/>
      <c r="G819" s="90">
        <v>0.5</v>
      </c>
      <c r="H819" s="89">
        <f t="shared" si="151"/>
        <v>-0.9</v>
      </c>
      <c r="I819" s="89"/>
      <c r="J819" s="90"/>
      <c r="K819" s="157"/>
      <c r="L819" s="157"/>
      <c r="M819" s="158"/>
      <c r="O819" s="82">
        <f t="shared" si="143"/>
        <v>0</v>
      </c>
    </row>
    <row r="820" spans="1:15" ht="15.95" customHeight="1" x14ac:dyDescent="0.2">
      <c r="A820" s="30"/>
      <c r="B820" s="41" t="s">
        <v>481</v>
      </c>
      <c r="C820" s="41"/>
      <c r="D820" s="41">
        <v>-2</v>
      </c>
      <c r="E820" s="90">
        <v>0.8</v>
      </c>
      <c r="F820" s="90"/>
      <c r="G820" s="90">
        <v>2.2000000000000002</v>
      </c>
      <c r="H820" s="89">
        <f t="shared" si="151"/>
        <v>-3.5200000000000005</v>
      </c>
      <c r="I820" s="89"/>
      <c r="J820" s="108"/>
      <c r="K820" s="157"/>
      <c r="L820" s="157"/>
      <c r="M820" s="158"/>
      <c r="O820" s="82">
        <f t="shared" si="143"/>
        <v>0</v>
      </c>
    </row>
    <row r="821" spans="1:15" ht="15.95" customHeight="1" x14ac:dyDescent="0.2">
      <c r="A821" s="30"/>
      <c r="B821" s="46"/>
      <c r="C821" s="41"/>
      <c r="D821" s="41"/>
      <c r="E821" s="90"/>
      <c r="F821" s="90"/>
      <c r="G821" s="90"/>
      <c r="H821" s="89"/>
      <c r="I821" s="90"/>
      <c r="J821" s="90"/>
      <c r="K821" s="157"/>
      <c r="L821" s="157"/>
      <c r="M821" s="158"/>
      <c r="O821" s="82">
        <f t="shared" si="143"/>
        <v>0</v>
      </c>
    </row>
    <row r="822" spans="1:15" s="5" customFormat="1" ht="16.149999999999999" customHeight="1" x14ac:dyDescent="0.2">
      <c r="A822" s="30"/>
      <c r="B822" s="44" t="s">
        <v>503</v>
      </c>
      <c r="C822" s="41"/>
      <c r="D822" s="41">
        <v>1</v>
      </c>
      <c r="E822" s="109">
        <v>1.3</v>
      </c>
      <c r="F822" s="109"/>
      <c r="G822" s="109">
        <v>1</v>
      </c>
      <c r="H822" s="89">
        <f t="shared" ref="H822:H823" si="152">PRODUCT(D822:G822)</f>
        <v>1.3</v>
      </c>
      <c r="I822" s="89"/>
      <c r="K822" s="157"/>
      <c r="L822" s="157"/>
      <c r="M822" s="158"/>
      <c r="O822" s="82">
        <f t="shared" si="143"/>
        <v>0</v>
      </c>
    </row>
    <row r="823" spans="1:15" ht="15.95" customHeight="1" x14ac:dyDescent="0.2">
      <c r="A823" s="30"/>
      <c r="B823" s="46"/>
      <c r="C823" s="41"/>
      <c r="D823" s="41">
        <v>2</v>
      </c>
      <c r="E823" s="90">
        <v>0.6</v>
      </c>
      <c r="F823" s="90"/>
      <c r="G823" s="109">
        <v>1</v>
      </c>
      <c r="H823" s="89">
        <f t="shared" si="152"/>
        <v>1.2</v>
      </c>
      <c r="I823" s="90"/>
      <c r="J823" s="90"/>
      <c r="K823" s="157"/>
      <c r="L823" s="157"/>
      <c r="M823" s="158"/>
      <c r="O823" s="82">
        <f t="shared" si="143"/>
        <v>0</v>
      </c>
    </row>
    <row r="824" spans="1:15" ht="15.95" customHeight="1" x14ac:dyDescent="0.2">
      <c r="A824" s="30"/>
      <c r="B824" s="46"/>
      <c r="C824" s="41"/>
      <c r="D824" s="41"/>
      <c r="E824" s="90"/>
      <c r="F824" s="90"/>
      <c r="G824" s="90"/>
      <c r="H824" s="89"/>
      <c r="I824" s="90">
        <f>SUM(H815:H824)</f>
        <v>34.879999999999995</v>
      </c>
      <c r="J824" s="90"/>
      <c r="K824" s="157"/>
      <c r="L824" s="157"/>
      <c r="M824" s="158"/>
      <c r="O824" s="82">
        <f t="shared" si="143"/>
        <v>0</v>
      </c>
    </row>
    <row r="825" spans="1:15" ht="15.95" customHeight="1" x14ac:dyDescent="0.2">
      <c r="A825" s="30"/>
      <c r="B825" s="46"/>
      <c r="C825" s="41"/>
      <c r="D825" s="41"/>
      <c r="E825" s="90"/>
      <c r="F825" s="90"/>
      <c r="G825" s="90"/>
      <c r="H825" s="89"/>
      <c r="I825" s="90"/>
      <c r="J825" s="90"/>
      <c r="K825" s="157"/>
      <c r="L825" s="157"/>
      <c r="M825" s="158"/>
      <c r="O825" s="82">
        <f t="shared" si="143"/>
        <v>0</v>
      </c>
    </row>
    <row r="826" spans="1:15" s="5" customFormat="1" ht="16.149999999999999" customHeight="1" x14ac:dyDescent="0.2">
      <c r="A826" s="30"/>
      <c r="B826" s="98" t="s">
        <v>466</v>
      </c>
      <c r="C826" s="32"/>
      <c r="D826" s="32"/>
      <c r="E826" s="89"/>
      <c r="F826" s="89"/>
      <c r="G826" s="89"/>
      <c r="H826" s="89">
        <f t="shared" ref="H826:H827" si="153">PRODUCT(D826:G826)</f>
        <v>0</v>
      </c>
      <c r="I826" s="89"/>
      <c r="J826" s="89"/>
      <c r="K826" s="157"/>
      <c r="L826" s="157"/>
      <c r="M826" s="158"/>
      <c r="O826" s="82">
        <f t="shared" si="143"/>
        <v>0</v>
      </c>
    </row>
    <row r="827" spans="1:15" ht="15.95" customHeight="1" x14ac:dyDescent="0.2">
      <c r="A827" s="30"/>
      <c r="B827" s="46"/>
      <c r="C827" s="41"/>
      <c r="D827" s="41">
        <v>8</v>
      </c>
      <c r="E827" s="90">
        <v>4.5999999999999996</v>
      </c>
      <c r="F827" s="90"/>
      <c r="G827" s="109">
        <v>2.2999999999999998</v>
      </c>
      <c r="H827" s="89">
        <f t="shared" si="153"/>
        <v>84.639999999999986</v>
      </c>
      <c r="I827" s="90"/>
      <c r="J827" s="90"/>
      <c r="K827" s="157"/>
      <c r="L827" s="157"/>
      <c r="M827" s="158"/>
      <c r="O827" s="82">
        <f t="shared" si="143"/>
        <v>0</v>
      </c>
    </row>
    <row r="828" spans="1:15" ht="15.95" customHeight="1" x14ac:dyDescent="0.2">
      <c r="A828" s="30"/>
      <c r="B828" s="46"/>
      <c r="C828" s="41"/>
      <c r="D828" s="41">
        <v>8</v>
      </c>
      <c r="E828" s="90">
        <v>2</v>
      </c>
      <c r="F828" s="90"/>
      <c r="G828" s="109">
        <v>2.2999999999999998</v>
      </c>
      <c r="H828" s="89">
        <f t="shared" ref="H828:H834" si="154">PRODUCT(D828:G828)</f>
        <v>36.799999999999997</v>
      </c>
      <c r="I828" s="90"/>
      <c r="J828" s="90"/>
      <c r="K828" s="157"/>
      <c r="L828" s="157"/>
      <c r="M828" s="158"/>
      <c r="O828" s="82">
        <f t="shared" si="143"/>
        <v>0</v>
      </c>
    </row>
    <row r="829" spans="1:15" ht="15.95" customHeight="1" x14ac:dyDescent="0.2">
      <c r="A829" s="30"/>
      <c r="B829" s="46"/>
      <c r="C829" s="41"/>
      <c r="D829" s="41">
        <f>6*4</f>
        <v>24</v>
      </c>
      <c r="E829" s="90">
        <v>2</v>
      </c>
      <c r="F829" s="90"/>
      <c r="G829" s="109">
        <v>2.2999999999999998</v>
      </c>
      <c r="H829" s="89">
        <f t="shared" si="154"/>
        <v>110.39999999999999</v>
      </c>
      <c r="I829" s="90"/>
      <c r="J829" s="90"/>
      <c r="K829" s="157"/>
      <c r="L829" s="157"/>
      <c r="M829" s="158"/>
      <c r="O829" s="82">
        <f t="shared" si="143"/>
        <v>0</v>
      </c>
    </row>
    <row r="830" spans="1:15" ht="15.95" customHeight="1" x14ac:dyDescent="0.2">
      <c r="A830" s="30"/>
      <c r="B830" s="46"/>
      <c r="C830" s="41"/>
      <c r="D830" s="41">
        <f>6*4</f>
        <v>24</v>
      </c>
      <c r="E830" s="90">
        <v>1.5</v>
      </c>
      <c r="F830" s="90"/>
      <c r="G830" s="109">
        <v>2.2999999999999998</v>
      </c>
      <c r="H830" s="89">
        <f t="shared" si="154"/>
        <v>82.8</v>
      </c>
      <c r="I830" s="90"/>
      <c r="J830" s="90"/>
      <c r="K830" s="157"/>
      <c r="L830" s="157"/>
      <c r="M830" s="158"/>
      <c r="O830" s="82">
        <f t="shared" si="143"/>
        <v>0</v>
      </c>
    </row>
    <row r="831" spans="1:15" ht="15.95" customHeight="1" x14ac:dyDescent="0.2">
      <c r="A831" s="30"/>
      <c r="B831" s="46"/>
      <c r="C831" s="41"/>
      <c r="D831" s="41">
        <v>2</v>
      </c>
      <c r="E831" s="90">
        <v>4.1500000000000004</v>
      </c>
      <c r="F831" s="90"/>
      <c r="G831" s="109">
        <v>2.2999999999999998</v>
      </c>
      <c r="H831" s="89">
        <f t="shared" si="154"/>
        <v>19.09</v>
      </c>
      <c r="I831" s="90"/>
      <c r="J831" s="90"/>
      <c r="K831" s="157"/>
      <c r="L831" s="157"/>
      <c r="M831" s="158"/>
      <c r="O831" s="82">
        <f t="shared" si="143"/>
        <v>0</v>
      </c>
    </row>
    <row r="832" spans="1:15" s="5" customFormat="1" ht="16.149999999999999" customHeight="1" x14ac:dyDescent="0.2">
      <c r="A832" s="30"/>
      <c r="B832" s="110" t="s">
        <v>480</v>
      </c>
      <c r="C832" s="41"/>
      <c r="D832" s="41"/>
      <c r="E832" s="109"/>
      <c r="F832" s="109"/>
      <c r="G832" s="109"/>
      <c r="H832" s="89">
        <f t="shared" si="154"/>
        <v>0</v>
      </c>
      <c r="I832" s="89"/>
      <c r="K832" s="157"/>
      <c r="L832" s="157"/>
      <c r="M832" s="158"/>
      <c r="O832" s="82">
        <f t="shared" si="143"/>
        <v>0</v>
      </c>
    </row>
    <row r="833" spans="1:15" ht="15.95" customHeight="1" x14ac:dyDescent="0.2">
      <c r="A833" s="30"/>
      <c r="B833" s="41" t="s">
        <v>424</v>
      </c>
      <c r="C833" s="41"/>
      <c r="D833" s="41">
        <v>-4</v>
      </c>
      <c r="E833" s="90">
        <v>1.2</v>
      </c>
      <c r="F833" s="90"/>
      <c r="G833" s="90">
        <v>2.2000000000000002</v>
      </c>
      <c r="H833" s="89">
        <f t="shared" si="154"/>
        <v>-10.56</v>
      </c>
      <c r="I833" s="89"/>
      <c r="J833" s="90"/>
      <c r="K833" s="157"/>
      <c r="L833" s="157"/>
      <c r="M833" s="158"/>
      <c r="O833" s="82">
        <f t="shared" si="143"/>
        <v>0</v>
      </c>
    </row>
    <row r="834" spans="1:15" ht="15.95" customHeight="1" x14ac:dyDescent="0.2">
      <c r="A834" s="30"/>
      <c r="B834" s="41" t="s">
        <v>481</v>
      </c>
      <c r="C834" s="41"/>
      <c r="D834" s="41">
        <v>-24</v>
      </c>
      <c r="E834" s="90">
        <v>0.8</v>
      </c>
      <c r="F834" s="90"/>
      <c r="G834" s="90">
        <v>2.2000000000000002</v>
      </c>
      <c r="H834" s="89">
        <f t="shared" si="154"/>
        <v>-42.240000000000009</v>
      </c>
      <c r="I834" s="89"/>
      <c r="J834" s="108"/>
      <c r="K834" s="157"/>
      <c r="L834" s="157"/>
      <c r="M834" s="158"/>
      <c r="O834" s="82">
        <f t="shared" si="143"/>
        <v>0</v>
      </c>
    </row>
    <row r="835" spans="1:15" ht="15.95" customHeight="1" x14ac:dyDescent="0.2">
      <c r="A835" s="30"/>
      <c r="B835" s="46"/>
      <c r="C835" s="41"/>
      <c r="D835" s="41"/>
      <c r="E835" s="90"/>
      <c r="F835" s="90"/>
      <c r="G835" s="90"/>
      <c r="H835" s="89"/>
      <c r="I835" s="90">
        <f>SUM(H827:H835)</f>
        <v>280.92999999999995</v>
      </c>
      <c r="J835" s="90"/>
      <c r="K835" s="157"/>
      <c r="L835" s="157"/>
      <c r="M835" s="158"/>
      <c r="O835" s="82">
        <f t="shared" si="143"/>
        <v>0</v>
      </c>
    </row>
    <row r="836" spans="1:15" s="5" customFormat="1" ht="16.149999999999999" customHeight="1" x14ac:dyDescent="0.2">
      <c r="A836" s="30"/>
      <c r="B836" s="98" t="s">
        <v>467</v>
      </c>
      <c r="C836" s="32"/>
      <c r="D836" s="32"/>
      <c r="E836" s="89"/>
      <c r="F836" s="89"/>
      <c r="G836" s="89"/>
      <c r="H836" s="89">
        <f t="shared" ref="H836" si="155">PRODUCT(D836:G836)</f>
        <v>0</v>
      </c>
      <c r="I836" s="89"/>
      <c r="J836" s="89"/>
      <c r="K836" s="157"/>
      <c r="L836" s="157"/>
      <c r="M836" s="158"/>
      <c r="O836" s="82">
        <f t="shared" si="143"/>
        <v>0</v>
      </c>
    </row>
    <row r="837" spans="1:15" ht="15.95" customHeight="1" x14ac:dyDescent="0.2">
      <c r="A837" s="40"/>
      <c r="B837" s="46"/>
      <c r="C837" s="41"/>
      <c r="D837" s="41"/>
      <c r="E837" s="90"/>
      <c r="F837" s="90"/>
      <c r="G837" s="90"/>
      <c r="H837" s="90"/>
      <c r="I837" s="90">
        <v>0</v>
      </c>
      <c r="J837" s="90"/>
      <c r="K837" s="163"/>
      <c r="L837" s="163"/>
      <c r="M837" s="158"/>
      <c r="O837" s="82">
        <f t="shared" si="143"/>
        <v>0</v>
      </c>
    </row>
    <row r="838" spans="1:15" ht="18" customHeight="1" x14ac:dyDescent="0.2">
      <c r="A838" s="40"/>
      <c r="B838" s="45"/>
      <c r="C838" s="41"/>
      <c r="D838" s="41"/>
      <c r="E838" s="90"/>
      <c r="F838" s="90"/>
      <c r="G838" s="90"/>
      <c r="H838" s="90"/>
      <c r="I838" s="90"/>
      <c r="J838" s="90"/>
      <c r="K838" s="163"/>
      <c r="L838" s="163"/>
      <c r="M838" s="158"/>
      <c r="O838" s="82">
        <f t="shared" ref="O838:O901" si="156">K838-J838</f>
        <v>0</v>
      </c>
    </row>
    <row r="839" spans="1:15" ht="15.95" customHeight="1" x14ac:dyDescent="0.2">
      <c r="A839" s="30" t="s">
        <v>168</v>
      </c>
      <c r="B839" s="48" t="s">
        <v>532</v>
      </c>
      <c r="C839" s="41" t="s">
        <v>4</v>
      </c>
      <c r="D839" s="41"/>
      <c r="E839" s="90"/>
      <c r="F839" s="90"/>
      <c r="G839" s="90"/>
      <c r="H839" s="89">
        <f t="shared" ref="H839" si="157">PRODUCT(D839:G839)</f>
        <v>0</v>
      </c>
      <c r="I839" s="90"/>
      <c r="J839" s="90">
        <f>SUM(I840:I842)</f>
        <v>1.2000000000000002</v>
      </c>
      <c r="K839" s="163">
        <v>1.5</v>
      </c>
      <c r="L839" s="163">
        <v>100</v>
      </c>
      <c r="M839" s="158">
        <f t="shared" ref="M839" si="158">+L839*K839</f>
        <v>150</v>
      </c>
      <c r="O839" s="82">
        <f t="shared" si="156"/>
        <v>0.29999999999999982</v>
      </c>
    </row>
    <row r="840" spans="1:15" s="5" customFormat="1" ht="16.149999999999999" customHeight="1" x14ac:dyDescent="0.2">
      <c r="A840" s="30"/>
      <c r="B840" s="98" t="s">
        <v>465</v>
      </c>
      <c r="C840" s="32"/>
      <c r="D840" s="32"/>
      <c r="E840" s="89"/>
      <c r="F840" s="89"/>
      <c r="G840" s="89"/>
      <c r="H840" s="89">
        <f t="shared" ref="H840:H842" si="159">PRODUCT(D840:G840)</f>
        <v>0</v>
      </c>
      <c r="I840" s="89"/>
      <c r="J840" s="89"/>
      <c r="K840" s="157"/>
      <c r="L840" s="157"/>
      <c r="M840" s="158"/>
      <c r="O840" s="82">
        <f t="shared" si="156"/>
        <v>0</v>
      </c>
    </row>
    <row r="841" spans="1:15" ht="15.95" customHeight="1" x14ac:dyDescent="0.2">
      <c r="A841" s="30"/>
      <c r="B841" s="46" t="s">
        <v>531</v>
      </c>
      <c r="C841" s="41"/>
      <c r="D841" s="32">
        <v>1</v>
      </c>
      <c r="E841" s="89">
        <v>1.5</v>
      </c>
      <c r="F841" s="89">
        <v>0.8</v>
      </c>
      <c r="G841" s="89"/>
      <c r="H841" s="89">
        <f t="shared" si="159"/>
        <v>1.2000000000000002</v>
      </c>
      <c r="I841" s="90"/>
      <c r="J841" s="90"/>
      <c r="K841" s="157"/>
      <c r="L841" s="157"/>
      <c r="M841" s="158"/>
      <c r="O841" s="82">
        <f t="shared" si="156"/>
        <v>0</v>
      </c>
    </row>
    <row r="842" spans="1:15" ht="15.95" customHeight="1" x14ac:dyDescent="0.2">
      <c r="A842" s="30"/>
      <c r="B842" s="46"/>
      <c r="C842" s="41"/>
      <c r="D842" s="41"/>
      <c r="E842" s="90"/>
      <c r="F842" s="90"/>
      <c r="G842" s="90"/>
      <c r="H842" s="89">
        <f t="shared" si="159"/>
        <v>0</v>
      </c>
      <c r="I842" s="90">
        <f>SUM(H841:H841)</f>
        <v>1.2000000000000002</v>
      </c>
      <c r="J842" s="90"/>
      <c r="K842" s="157"/>
      <c r="L842" s="157"/>
      <c r="M842" s="158"/>
      <c r="O842" s="82">
        <f t="shared" si="156"/>
        <v>0</v>
      </c>
    </row>
    <row r="843" spans="1:15" ht="15.95" customHeight="1" x14ac:dyDescent="0.2">
      <c r="A843" s="40" t="s">
        <v>340</v>
      </c>
      <c r="B843" s="55" t="s">
        <v>353</v>
      </c>
      <c r="C843" s="41" t="s">
        <v>4</v>
      </c>
      <c r="D843" s="41"/>
      <c r="E843" s="90"/>
      <c r="F843" s="90"/>
      <c r="G843" s="90"/>
      <c r="H843" s="90"/>
      <c r="I843" s="90"/>
      <c r="J843" s="90">
        <f>SUM(I844:I850)</f>
        <v>85.589999999999989</v>
      </c>
      <c r="K843" s="163">
        <v>90</v>
      </c>
      <c r="L843" s="163">
        <v>180</v>
      </c>
      <c r="M843" s="158">
        <f t="shared" si="128"/>
        <v>16200</v>
      </c>
      <c r="N843" s="10"/>
      <c r="O843" s="82">
        <f t="shared" si="156"/>
        <v>4.4100000000000108</v>
      </c>
    </row>
    <row r="844" spans="1:15" s="5" customFormat="1" ht="16.149999999999999" customHeight="1" x14ac:dyDescent="0.2">
      <c r="A844" s="30"/>
      <c r="B844" s="98" t="s">
        <v>465</v>
      </c>
      <c r="C844" s="32"/>
      <c r="D844" s="32"/>
      <c r="E844" s="89"/>
      <c r="F844" s="89"/>
      <c r="G844" s="89"/>
      <c r="H844" s="89">
        <f t="shared" ref="H844:H849" si="160">PRODUCT(D844:G844)</f>
        <v>0</v>
      </c>
      <c r="I844" s="89"/>
      <c r="J844" s="89"/>
      <c r="K844" s="157"/>
      <c r="L844" s="157"/>
      <c r="M844" s="158"/>
      <c r="O844" s="82">
        <f t="shared" si="156"/>
        <v>0</v>
      </c>
    </row>
    <row r="845" spans="1:15" s="5" customFormat="1" ht="16.149999999999999" customHeight="1" x14ac:dyDescent="0.2">
      <c r="A845" s="30"/>
      <c r="B845" s="44" t="s">
        <v>485</v>
      </c>
      <c r="C845" s="41"/>
      <c r="D845" s="41">
        <v>1</v>
      </c>
      <c r="E845" s="109">
        <v>5.0999999999999996</v>
      </c>
      <c r="F845" s="109">
        <v>3.1</v>
      </c>
      <c r="G845" s="109"/>
      <c r="H845" s="89">
        <f t="shared" si="160"/>
        <v>15.809999999999999</v>
      </c>
      <c r="I845" s="89"/>
      <c r="K845" s="157"/>
      <c r="L845" s="157"/>
      <c r="M845" s="158"/>
      <c r="O845" s="82">
        <f t="shared" si="156"/>
        <v>0</v>
      </c>
    </row>
    <row r="846" spans="1:15" s="5" customFormat="1" ht="16.149999999999999" customHeight="1" x14ac:dyDescent="0.2">
      <c r="A846" s="30"/>
      <c r="B846" s="44" t="s">
        <v>486</v>
      </c>
      <c r="C846" s="41"/>
      <c r="D846" s="41">
        <v>1</v>
      </c>
      <c r="E846" s="109">
        <v>5.0999999999999996</v>
      </c>
      <c r="F846" s="109">
        <v>7.1</v>
      </c>
      <c r="G846" s="109"/>
      <c r="H846" s="89">
        <f t="shared" si="160"/>
        <v>36.209999999999994</v>
      </c>
      <c r="I846" s="89"/>
      <c r="K846" s="157"/>
      <c r="L846" s="157"/>
      <c r="M846" s="158"/>
      <c r="O846" s="82">
        <f t="shared" si="156"/>
        <v>0</v>
      </c>
    </row>
    <row r="847" spans="1:15" s="5" customFormat="1" ht="16.149999999999999" customHeight="1" x14ac:dyDescent="0.2">
      <c r="A847" s="30"/>
      <c r="B847" s="44" t="s">
        <v>479</v>
      </c>
      <c r="C847" s="41"/>
      <c r="D847" s="41">
        <v>1</v>
      </c>
      <c r="E847" s="109">
        <v>4.3</v>
      </c>
      <c r="F847" s="109">
        <v>2.9</v>
      </c>
      <c r="G847" s="109"/>
      <c r="H847" s="89">
        <f t="shared" si="160"/>
        <v>12.469999999999999</v>
      </c>
      <c r="I847" s="89"/>
      <c r="K847" s="157"/>
      <c r="L847" s="157"/>
      <c r="M847" s="158"/>
      <c r="O847" s="82">
        <f t="shared" si="156"/>
        <v>0</v>
      </c>
    </row>
    <row r="848" spans="1:15" s="5" customFormat="1" ht="16.149999999999999" customHeight="1" x14ac:dyDescent="0.2">
      <c r="A848" s="30"/>
      <c r="B848" s="44" t="s">
        <v>496</v>
      </c>
      <c r="C848" s="41"/>
      <c r="D848" s="41">
        <v>1</v>
      </c>
      <c r="E848" s="109">
        <v>7.3</v>
      </c>
      <c r="F848" s="109">
        <v>2</v>
      </c>
      <c r="G848" s="109"/>
      <c r="H848" s="89">
        <f t="shared" si="160"/>
        <v>14.6</v>
      </c>
      <c r="I848" s="89"/>
      <c r="K848" s="157"/>
      <c r="L848" s="157"/>
      <c r="M848" s="158"/>
      <c r="O848" s="82">
        <f t="shared" si="156"/>
        <v>0</v>
      </c>
    </row>
    <row r="849" spans="1:15" s="5" customFormat="1" ht="16.149999999999999" customHeight="1" x14ac:dyDescent="0.2">
      <c r="A849" s="30"/>
      <c r="B849" s="44"/>
      <c r="C849" s="41"/>
      <c r="D849" s="41">
        <v>1</v>
      </c>
      <c r="E849" s="109">
        <v>5</v>
      </c>
      <c r="F849" s="109">
        <v>1.3</v>
      </c>
      <c r="G849" s="109"/>
      <c r="H849" s="89">
        <f t="shared" si="160"/>
        <v>6.5</v>
      </c>
      <c r="I849" s="89"/>
      <c r="K849" s="157"/>
      <c r="L849" s="157"/>
      <c r="M849" s="158"/>
      <c r="O849" s="82">
        <f t="shared" si="156"/>
        <v>0</v>
      </c>
    </row>
    <row r="850" spans="1:15" ht="15.95" customHeight="1" x14ac:dyDescent="0.2">
      <c r="A850" s="30"/>
      <c r="B850" s="46"/>
      <c r="C850" s="41"/>
      <c r="D850" s="41"/>
      <c r="E850" s="90"/>
      <c r="F850" s="90"/>
      <c r="G850" s="90"/>
      <c r="H850" s="89"/>
      <c r="I850" s="90">
        <f>SUM(H845:H849)</f>
        <v>85.589999999999989</v>
      </c>
      <c r="J850" s="90"/>
      <c r="K850" s="157"/>
      <c r="L850" s="157"/>
      <c r="M850" s="158"/>
      <c r="O850" s="82">
        <f t="shared" si="156"/>
        <v>0</v>
      </c>
    </row>
    <row r="851" spans="1:15" ht="15.95" customHeight="1" x14ac:dyDescent="0.2">
      <c r="A851" s="40" t="s">
        <v>341</v>
      </c>
      <c r="B851" s="46" t="s">
        <v>504</v>
      </c>
      <c r="C851" s="41" t="s">
        <v>4</v>
      </c>
      <c r="D851" s="41"/>
      <c r="E851" s="90"/>
      <c r="F851" s="90"/>
      <c r="G851" s="90"/>
      <c r="H851" s="90"/>
      <c r="I851" s="90"/>
      <c r="J851" s="90">
        <f>SUM(I855:I885)</f>
        <v>633.04</v>
      </c>
      <c r="K851" s="163">
        <v>640</v>
      </c>
      <c r="L851" s="163">
        <v>120</v>
      </c>
      <c r="M851" s="158">
        <f t="shared" si="128"/>
        <v>76800</v>
      </c>
      <c r="O851" s="82">
        <f t="shared" si="156"/>
        <v>6.9600000000000364</v>
      </c>
    </row>
    <row r="852" spans="1:15" ht="15.95" customHeight="1" x14ac:dyDescent="0.2">
      <c r="A852" s="40"/>
      <c r="B852" s="118" t="s">
        <v>505</v>
      </c>
      <c r="C852" s="41"/>
      <c r="D852" s="41"/>
      <c r="E852" s="90"/>
      <c r="F852" s="90"/>
      <c r="G852" s="90"/>
      <c r="H852" s="90"/>
      <c r="I852" s="90"/>
      <c r="J852" s="108"/>
      <c r="K852" s="163"/>
      <c r="L852" s="163"/>
      <c r="M852" s="158"/>
      <c r="O852" s="82">
        <f t="shared" si="156"/>
        <v>0</v>
      </c>
    </row>
    <row r="853" spans="1:15" s="5" customFormat="1" ht="16.149999999999999" customHeight="1" x14ac:dyDescent="0.2">
      <c r="A853" s="30"/>
      <c r="B853" s="98" t="s">
        <v>464</v>
      </c>
      <c r="C853" s="32"/>
      <c r="D853" s="32"/>
      <c r="E853" s="89"/>
      <c r="F853" s="89"/>
      <c r="G853" s="89"/>
      <c r="H853" s="89"/>
      <c r="I853" s="89"/>
      <c r="K853" s="157"/>
      <c r="L853" s="157"/>
      <c r="M853" s="158"/>
      <c r="O853" s="82">
        <f t="shared" si="156"/>
        <v>0</v>
      </c>
    </row>
    <row r="854" spans="1:15" ht="16.5" customHeight="1" x14ac:dyDescent="0.2">
      <c r="A854" s="40"/>
      <c r="B854" s="45"/>
      <c r="C854" s="41"/>
      <c r="D854" s="41">
        <v>2</v>
      </c>
      <c r="E854" s="90">
        <v>9.8000000000000007</v>
      </c>
      <c r="F854" s="90"/>
      <c r="G854" s="90">
        <v>1.2</v>
      </c>
      <c r="H854" s="89">
        <f t="shared" ref="H854:H864" si="161">PRODUCT(D854:G854)</f>
        <v>23.52</v>
      </c>
      <c r="I854" s="90"/>
      <c r="J854" s="90"/>
      <c r="K854" s="163"/>
      <c r="L854" s="163"/>
      <c r="M854" s="158"/>
      <c r="O854" s="82">
        <f t="shared" si="156"/>
        <v>0</v>
      </c>
    </row>
    <row r="855" spans="1:15" ht="16.5" customHeight="1" x14ac:dyDescent="0.2">
      <c r="A855" s="40"/>
      <c r="B855" s="45"/>
      <c r="C855" s="41"/>
      <c r="D855" s="41">
        <v>2</v>
      </c>
      <c r="E855" s="90">
        <f>21.4+1*2</f>
        <v>23.4</v>
      </c>
      <c r="F855" s="90"/>
      <c r="G855" s="90">
        <v>1.2</v>
      </c>
      <c r="H855" s="89">
        <f t="shared" si="161"/>
        <v>56.16</v>
      </c>
      <c r="I855" s="90"/>
      <c r="J855" s="90"/>
      <c r="K855" s="163"/>
      <c r="L855" s="163"/>
      <c r="M855" s="158"/>
      <c r="O855" s="82">
        <f t="shared" si="156"/>
        <v>0</v>
      </c>
    </row>
    <row r="856" spans="1:15" ht="16.5" customHeight="1" x14ac:dyDescent="0.2">
      <c r="A856" s="40"/>
      <c r="B856" s="45"/>
      <c r="C856" s="41"/>
      <c r="D856" s="41"/>
      <c r="E856" s="90"/>
      <c r="F856" s="90"/>
      <c r="G856" s="90"/>
      <c r="H856" s="89">
        <f t="shared" si="161"/>
        <v>0</v>
      </c>
      <c r="I856" s="90">
        <f>SUM(H854:H856)</f>
        <v>79.679999999999993</v>
      </c>
      <c r="J856" s="90"/>
      <c r="K856" s="163"/>
      <c r="L856" s="163"/>
      <c r="M856" s="158"/>
      <c r="O856" s="82">
        <f t="shared" si="156"/>
        <v>0</v>
      </c>
    </row>
    <row r="857" spans="1:15" s="5" customFormat="1" ht="16.149999999999999" customHeight="1" x14ac:dyDescent="0.2">
      <c r="A857" s="30"/>
      <c r="B857" s="98" t="s">
        <v>465</v>
      </c>
      <c r="C857" s="32"/>
      <c r="D857" s="32"/>
      <c r="E857" s="89"/>
      <c r="F857" s="89"/>
      <c r="G857" s="89"/>
      <c r="H857" s="89">
        <f t="shared" si="161"/>
        <v>0</v>
      </c>
      <c r="I857" s="89"/>
      <c r="J857" s="89"/>
      <c r="K857" s="157"/>
      <c r="L857" s="157"/>
      <c r="M857" s="158"/>
      <c r="O857" s="82">
        <f t="shared" si="156"/>
        <v>0</v>
      </c>
    </row>
    <row r="858" spans="1:15" ht="16.5" customHeight="1" x14ac:dyDescent="0.2">
      <c r="A858" s="40"/>
      <c r="B858" s="45"/>
      <c r="C858" s="41"/>
      <c r="D858" s="41">
        <v>2</v>
      </c>
      <c r="E858" s="90">
        <v>12.7</v>
      </c>
      <c r="F858" s="90"/>
      <c r="G858" s="90">
        <v>1.2</v>
      </c>
      <c r="H858" s="89">
        <f t="shared" si="161"/>
        <v>30.479999999999997</v>
      </c>
      <c r="I858" s="90"/>
      <c r="J858" s="90"/>
      <c r="K858" s="163"/>
      <c r="L858" s="163"/>
      <c r="M858" s="158"/>
      <c r="O858" s="82">
        <f t="shared" si="156"/>
        <v>0</v>
      </c>
    </row>
    <row r="859" spans="1:15" ht="16.5" customHeight="1" x14ac:dyDescent="0.2">
      <c r="A859" s="40"/>
      <c r="B859" s="45"/>
      <c r="C859" s="41"/>
      <c r="D859" s="41">
        <v>2</v>
      </c>
      <c r="E859" s="90">
        <f>10.8+1*2</f>
        <v>12.8</v>
      </c>
      <c r="F859" s="90"/>
      <c r="G859" s="90">
        <v>1.2</v>
      </c>
      <c r="H859" s="89">
        <f t="shared" si="161"/>
        <v>30.72</v>
      </c>
      <c r="I859" s="90"/>
      <c r="J859" s="90"/>
      <c r="K859" s="163"/>
      <c r="L859" s="163"/>
      <c r="M859" s="158"/>
      <c r="O859" s="82">
        <f t="shared" si="156"/>
        <v>0</v>
      </c>
    </row>
    <row r="860" spans="1:15" ht="16.5" customHeight="1" x14ac:dyDescent="0.2">
      <c r="A860" s="40"/>
      <c r="B860" s="45"/>
      <c r="C860" s="41"/>
      <c r="D860" s="41"/>
      <c r="E860" s="90"/>
      <c r="F860" s="90"/>
      <c r="G860" s="90"/>
      <c r="H860" s="89">
        <f t="shared" si="161"/>
        <v>0</v>
      </c>
      <c r="I860" s="90">
        <f>SUM(H858:H860)</f>
        <v>61.199999999999996</v>
      </c>
      <c r="J860" s="90"/>
      <c r="K860" s="163"/>
      <c r="L860" s="163"/>
      <c r="M860" s="158"/>
      <c r="O860" s="82">
        <f t="shared" si="156"/>
        <v>0</v>
      </c>
    </row>
    <row r="861" spans="1:15" s="5" customFormat="1" ht="16.149999999999999" customHeight="1" x14ac:dyDescent="0.2">
      <c r="A861" s="30"/>
      <c r="B861" s="98" t="s">
        <v>466</v>
      </c>
      <c r="C861" s="32"/>
      <c r="D861" s="32"/>
      <c r="E861" s="89"/>
      <c r="F861" s="89"/>
      <c r="G861" s="89"/>
      <c r="H861" s="89">
        <f t="shared" si="161"/>
        <v>0</v>
      </c>
      <c r="I861" s="89"/>
      <c r="J861" s="89"/>
      <c r="K861" s="157"/>
      <c r="L861" s="157"/>
      <c r="M861" s="158"/>
      <c r="O861" s="82">
        <f t="shared" si="156"/>
        <v>0</v>
      </c>
    </row>
    <row r="862" spans="1:15" ht="16.5" customHeight="1" x14ac:dyDescent="0.2">
      <c r="A862" s="40"/>
      <c r="B862" s="45"/>
      <c r="C862" s="41"/>
      <c r="D862" s="41">
        <v>2</v>
      </c>
      <c r="E862" s="90">
        <v>8.8000000000000007</v>
      </c>
      <c r="F862" s="90"/>
      <c r="G862" s="90">
        <v>1.2</v>
      </c>
      <c r="H862" s="89">
        <f t="shared" si="161"/>
        <v>21.12</v>
      </c>
      <c r="I862" s="90"/>
      <c r="J862" s="90"/>
      <c r="K862" s="163"/>
      <c r="L862" s="163"/>
      <c r="M862" s="158"/>
      <c r="O862" s="82">
        <f t="shared" si="156"/>
        <v>0</v>
      </c>
    </row>
    <row r="863" spans="1:15" ht="16.5" customHeight="1" x14ac:dyDescent="0.2">
      <c r="A863" s="40"/>
      <c r="B863" s="45"/>
      <c r="C863" s="41"/>
      <c r="D863" s="41">
        <v>2</v>
      </c>
      <c r="E863" s="90">
        <f>9.8+1*2</f>
        <v>11.8</v>
      </c>
      <c r="F863" s="90"/>
      <c r="G863" s="90">
        <v>1.2</v>
      </c>
      <c r="H863" s="89">
        <f t="shared" si="161"/>
        <v>28.32</v>
      </c>
      <c r="I863" s="90"/>
      <c r="J863" s="90"/>
      <c r="K863" s="163"/>
      <c r="L863" s="163"/>
      <c r="M863" s="158"/>
      <c r="O863" s="82">
        <f t="shared" si="156"/>
        <v>0</v>
      </c>
    </row>
    <row r="864" spans="1:15" ht="16.5" customHeight="1" x14ac:dyDescent="0.2">
      <c r="A864" s="40"/>
      <c r="B864" s="45"/>
      <c r="C864" s="41"/>
      <c r="D864" s="41"/>
      <c r="E864" s="90"/>
      <c r="F864" s="90"/>
      <c r="G864" s="90"/>
      <c r="H864" s="89">
        <f t="shared" si="161"/>
        <v>0</v>
      </c>
      <c r="I864" s="90">
        <f>SUM(H862:H863)</f>
        <v>49.44</v>
      </c>
      <c r="J864" s="90"/>
      <c r="K864" s="163"/>
      <c r="L864" s="163"/>
      <c r="M864" s="158"/>
      <c r="O864" s="82">
        <f t="shared" si="156"/>
        <v>0</v>
      </c>
    </row>
    <row r="865" spans="1:15" s="5" customFormat="1" ht="16.149999999999999" customHeight="1" x14ac:dyDescent="0.2">
      <c r="A865" s="30"/>
      <c r="B865" s="98" t="s">
        <v>467</v>
      </c>
      <c r="C865" s="32"/>
      <c r="D865" s="32"/>
      <c r="E865" s="89"/>
      <c r="F865" s="89"/>
      <c r="G865" s="89"/>
      <c r="H865" s="89"/>
      <c r="I865" s="89"/>
      <c r="J865" s="89"/>
      <c r="K865" s="157"/>
      <c r="L865" s="157"/>
      <c r="M865" s="158"/>
      <c r="O865" s="82">
        <f t="shared" si="156"/>
        <v>0</v>
      </c>
    </row>
    <row r="866" spans="1:15" ht="16.5" customHeight="1" x14ac:dyDescent="0.2">
      <c r="A866" s="40"/>
      <c r="B866" s="45"/>
      <c r="C866" s="41"/>
      <c r="D866" s="32">
        <v>2</v>
      </c>
      <c r="E866" s="89">
        <v>2.4</v>
      </c>
      <c r="F866" s="89"/>
      <c r="G866" s="90">
        <v>1.2</v>
      </c>
      <c r="H866" s="89">
        <f t="shared" ref="H866:H884" si="162">PRODUCT(D866:G866)</f>
        <v>5.76</v>
      </c>
      <c r="I866" s="90"/>
      <c r="J866" s="90"/>
      <c r="K866" s="163"/>
      <c r="L866" s="163"/>
      <c r="M866" s="158"/>
      <c r="O866" s="82">
        <f t="shared" si="156"/>
        <v>0</v>
      </c>
    </row>
    <row r="867" spans="1:15" ht="16.5" customHeight="1" x14ac:dyDescent="0.2">
      <c r="A867" s="40"/>
      <c r="B867" s="45"/>
      <c r="C867" s="41"/>
      <c r="D867" s="32">
        <v>2</v>
      </c>
      <c r="E867" s="89">
        <f>3.4+1*2</f>
        <v>5.4</v>
      </c>
      <c r="F867" s="89"/>
      <c r="G867" s="90">
        <v>1.2</v>
      </c>
      <c r="H867" s="89">
        <f t="shared" si="162"/>
        <v>12.96</v>
      </c>
      <c r="I867" s="90"/>
      <c r="J867" s="90"/>
      <c r="K867" s="163"/>
      <c r="L867" s="163"/>
      <c r="M867" s="158"/>
      <c r="O867" s="82">
        <f t="shared" si="156"/>
        <v>0</v>
      </c>
    </row>
    <row r="868" spans="1:15" ht="16.5" customHeight="1" x14ac:dyDescent="0.2">
      <c r="A868" s="40"/>
      <c r="B868" s="45"/>
      <c r="C868" s="41"/>
      <c r="D868" s="41"/>
      <c r="E868" s="90"/>
      <c r="F868" s="90"/>
      <c r="G868" s="90"/>
      <c r="H868" s="89">
        <f t="shared" si="162"/>
        <v>0</v>
      </c>
      <c r="I868" s="90">
        <f>SUM(H865:H867)</f>
        <v>18.72</v>
      </c>
      <c r="J868" s="90"/>
      <c r="K868" s="163"/>
      <c r="L868" s="163"/>
      <c r="M868" s="158"/>
      <c r="O868" s="82">
        <f t="shared" si="156"/>
        <v>0</v>
      </c>
    </row>
    <row r="869" spans="1:15" ht="16.5" customHeight="1" x14ac:dyDescent="0.2">
      <c r="A869" s="40"/>
      <c r="B869" s="119" t="s">
        <v>506</v>
      </c>
      <c r="C869" s="41"/>
      <c r="D869" s="41"/>
      <c r="E869" s="90"/>
      <c r="F869" s="90"/>
      <c r="G869" s="90"/>
      <c r="H869" s="89">
        <f t="shared" si="162"/>
        <v>0</v>
      </c>
      <c r="I869" s="90"/>
      <c r="J869" s="90"/>
      <c r="K869" s="163"/>
      <c r="L869" s="163"/>
      <c r="M869" s="158"/>
      <c r="O869" s="82">
        <f t="shared" si="156"/>
        <v>0</v>
      </c>
    </row>
    <row r="870" spans="1:15" ht="16.5" customHeight="1" x14ac:dyDescent="0.2">
      <c r="A870" s="40"/>
      <c r="B870" s="45" t="s">
        <v>507</v>
      </c>
      <c r="C870" s="41"/>
      <c r="D870" s="41">
        <v>2</v>
      </c>
      <c r="E870" s="90">
        <f>35.5+2</f>
        <v>37.5</v>
      </c>
      <c r="F870" s="90"/>
      <c r="G870" s="90">
        <v>1</v>
      </c>
      <c r="H870" s="89">
        <f t="shared" si="162"/>
        <v>75</v>
      </c>
      <c r="I870" s="90"/>
      <c r="J870" s="90"/>
      <c r="K870" s="163"/>
      <c r="L870" s="163"/>
      <c r="M870" s="158"/>
      <c r="O870" s="82">
        <f t="shared" si="156"/>
        <v>0</v>
      </c>
    </row>
    <row r="871" spans="1:15" ht="16.5" customHeight="1" x14ac:dyDescent="0.2">
      <c r="A871" s="40"/>
      <c r="B871" s="45"/>
      <c r="C871" s="41"/>
      <c r="D871" s="41">
        <v>2</v>
      </c>
      <c r="E871" s="90">
        <v>10.6</v>
      </c>
      <c r="F871" s="90"/>
      <c r="G871" s="90">
        <v>1</v>
      </c>
      <c r="H871" s="89">
        <f t="shared" si="162"/>
        <v>21.2</v>
      </c>
      <c r="I871" s="90"/>
      <c r="J871" s="90"/>
      <c r="K871" s="163"/>
      <c r="L871" s="163"/>
      <c r="M871" s="158"/>
      <c r="O871" s="82">
        <f t="shared" si="156"/>
        <v>0</v>
      </c>
    </row>
    <row r="872" spans="1:15" ht="16.5" customHeight="1" x14ac:dyDescent="0.2">
      <c r="A872" s="40"/>
      <c r="B872" s="45" t="s">
        <v>508</v>
      </c>
      <c r="C872" s="41"/>
      <c r="D872" s="41">
        <v>2</v>
      </c>
      <c r="E872" s="90">
        <f>19.3+1*2</f>
        <v>21.3</v>
      </c>
      <c r="F872" s="90"/>
      <c r="G872" s="90">
        <v>1</v>
      </c>
      <c r="H872" s="89">
        <f t="shared" ref="H872" si="163">PRODUCT(D872:G872)</f>
        <v>42.6</v>
      </c>
      <c r="I872" s="90"/>
      <c r="J872" s="90"/>
      <c r="K872" s="163"/>
      <c r="L872" s="163"/>
      <c r="M872" s="158"/>
      <c r="O872" s="82">
        <f t="shared" si="156"/>
        <v>0</v>
      </c>
    </row>
    <row r="873" spans="1:15" ht="16.5" customHeight="1" x14ac:dyDescent="0.2">
      <c r="A873" s="40"/>
      <c r="B873" s="45"/>
      <c r="C873" s="41"/>
      <c r="D873" s="41">
        <v>2</v>
      </c>
      <c r="E873" s="90">
        <v>8.6999999999999993</v>
      </c>
      <c r="F873" s="90"/>
      <c r="G873" s="90">
        <v>1</v>
      </c>
      <c r="H873" s="89">
        <f t="shared" si="162"/>
        <v>17.399999999999999</v>
      </c>
      <c r="I873" s="90"/>
      <c r="J873" s="90"/>
      <c r="K873" s="163"/>
      <c r="L873" s="163"/>
      <c r="M873" s="158"/>
      <c r="O873" s="82">
        <f t="shared" si="156"/>
        <v>0</v>
      </c>
    </row>
    <row r="874" spans="1:15" ht="16.5" customHeight="1" x14ac:dyDescent="0.2">
      <c r="A874" s="40"/>
      <c r="B874" s="45" t="s">
        <v>508</v>
      </c>
      <c r="C874" s="41"/>
      <c r="D874" s="41">
        <v>2</v>
      </c>
      <c r="E874" s="90">
        <f>19.15+1*2</f>
        <v>21.15</v>
      </c>
      <c r="F874" s="90"/>
      <c r="G874" s="90">
        <v>1</v>
      </c>
      <c r="H874" s="89">
        <f t="shared" si="162"/>
        <v>42.3</v>
      </c>
      <c r="I874" s="90"/>
      <c r="J874" s="90"/>
      <c r="K874" s="163"/>
      <c r="L874" s="163"/>
      <c r="M874" s="158"/>
      <c r="O874" s="82">
        <f t="shared" si="156"/>
        <v>0</v>
      </c>
    </row>
    <row r="875" spans="1:15" ht="16.5" customHeight="1" x14ac:dyDescent="0.2">
      <c r="A875" s="40"/>
      <c r="B875" s="45"/>
      <c r="C875" s="41"/>
      <c r="D875" s="41">
        <v>2</v>
      </c>
      <c r="E875" s="90">
        <v>8.6999999999999993</v>
      </c>
      <c r="F875" s="90"/>
      <c r="G875" s="90">
        <v>1</v>
      </c>
      <c r="H875" s="89">
        <f t="shared" ref="H875:H876" si="164">PRODUCT(D875:G875)</f>
        <v>17.399999999999999</v>
      </c>
      <c r="I875" s="90"/>
      <c r="J875" s="90"/>
      <c r="K875" s="163"/>
      <c r="L875" s="163"/>
      <c r="M875" s="158"/>
      <c r="O875" s="82">
        <f t="shared" si="156"/>
        <v>0</v>
      </c>
    </row>
    <row r="876" spans="1:15" ht="16.5" customHeight="1" x14ac:dyDescent="0.2">
      <c r="A876" s="40"/>
      <c r="B876" s="45" t="s">
        <v>508</v>
      </c>
      <c r="C876" s="41"/>
      <c r="D876" s="41">
        <v>2</v>
      </c>
      <c r="E876" s="90">
        <f>20.8+1*2</f>
        <v>22.8</v>
      </c>
      <c r="F876" s="90"/>
      <c r="G876" s="90">
        <v>1</v>
      </c>
      <c r="H876" s="89">
        <f t="shared" si="164"/>
        <v>45.6</v>
      </c>
      <c r="I876" s="90"/>
      <c r="J876" s="90"/>
      <c r="K876" s="163"/>
      <c r="L876" s="163"/>
      <c r="M876" s="158"/>
      <c r="O876" s="82">
        <f t="shared" si="156"/>
        <v>0</v>
      </c>
    </row>
    <row r="877" spans="1:15" ht="16.5" customHeight="1" x14ac:dyDescent="0.2">
      <c r="A877" s="40"/>
      <c r="B877" s="45"/>
      <c r="C877" s="41"/>
      <c r="D877" s="41">
        <v>2</v>
      </c>
      <c r="E877" s="90">
        <v>7.1</v>
      </c>
      <c r="F877" s="90"/>
      <c r="G877" s="90">
        <v>1</v>
      </c>
      <c r="H877" s="89">
        <f t="shared" ref="H877:H878" si="165">PRODUCT(D877:G877)</f>
        <v>14.2</v>
      </c>
      <c r="I877" s="90"/>
      <c r="J877" s="90"/>
      <c r="K877" s="163"/>
      <c r="L877" s="163"/>
      <c r="M877" s="158"/>
      <c r="O877" s="82">
        <f t="shared" si="156"/>
        <v>0</v>
      </c>
    </row>
    <row r="878" spans="1:15" ht="16.5" customHeight="1" x14ac:dyDescent="0.2">
      <c r="A878" s="40"/>
      <c r="B878" s="45" t="s">
        <v>508</v>
      </c>
      <c r="C878" s="41"/>
      <c r="D878" s="41">
        <v>2</v>
      </c>
      <c r="E878" s="90">
        <f>25.9+1*2</f>
        <v>27.9</v>
      </c>
      <c r="F878" s="90"/>
      <c r="G878" s="90">
        <v>1</v>
      </c>
      <c r="H878" s="89">
        <f t="shared" si="165"/>
        <v>55.8</v>
      </c>
      <c r="I878" s="90"/>
      <c r="J878" s="90"/>
      <c r="K878" s="163"/>
      <c r="L878" s="163"/>
      <c r="M878" s="158"/>
      <c r="O878" s="82">
        <f t="shared" si="156"/>
        <v>0</v>
      </c>
    </row>
    <row r="879" spans="1:15" ht="16.5" customHeight="1" x14ac:dyDescent="0.2">
      <c r="A879" s="40"/>
      <c r="B879" s="45"/>
      <c r="C879" s="41"/>
      <c r="D879" s="41">
        <v>2</v>
      </c>
      <c r="E879" s="90">
        <f>8.6</f>
        <v>8.6</v>
      </c>
      <c r="F879" s="90"/>
      <c r="G879" s="90">
        <v>1</v>
      </c>
      <c r="H879" s="89">
        <f t="shared" ref="H879:H880" si="166">PRODUCT(D879:G879)</f>
        <v>17.2</v>
      </c>
      <c r="I879" s="90"/>
      <c r="J879" s="90"/>
      <c r="K879" s="163"/>
      <c r="L879" s="163"/>
      <c r="M879" s="158"/>
      <c r="O879" s="82">
        <f t="shared" si="156"/>
        <v>0</v>
      </c>
    </row>
    <row r="880" spans="1:15" ht="16.5" customHeight="1" x14ac:dyDescent="0.2">
      <c r="A880" s="40"/>
      <c r="B880" s="45" t="s">
        <v>423</v>
      </c>
      <c r="C880" s="41"/>
      <c r="D880" s="41">
        <v>2</v>
      </c>
      <c r="E880" s="90">
        <f>12.9+1*2</f>
        <v>14.9</v>
      </c>
      <c r="F880" s="90"/>
      <c r="G880" s="90">
        <v>1</v>
      </c>
      <c r="H880" s="89">
        <f t="shared" si="166"/>
        <v>29.8</v>
      </c>
      <c r="I880" s="90"/>
      <c r="J880" s="90"/>
      <c r="K880" s="163"/>
      <c r="L880" s="163"/>
      <c r="M880" s="158"/>
      <c r="O880" s="82">
        <f t="shared" si="156"/>
        <v>0</v>
      </c>
    </row>
    <row r="881" spans="1:15" ht="16.5" customHeight="1" x14ac:dyDescent="0.2">
      <c r="A881" s="40"/>
      <c r="B881" s="45"/>
      <c r="C881" s="41"/>
      <c r="D881" s="41">
        <v>2</v>
      </c>
      <c r="E881" s="90">
        <v>10.55</v>
      </c>
      <c r="F881" s="90"/>
      <c r="G881" s="90">
        <v>1</v>
      </c>
      <c r="H881" s="89">
        <f t="shared" ref="H881:H882" si="167">PRODUCT(D881:G881)</f>
        <v>21.1</v>
      </c>
      <c r="I881" s="90"/>
      <c r="J881" s="90"/>
      <c r="K881" s="163"/>
      <c r="L881" s="163"/>
      <c r="M881" s="158"/>
      <c r="O881" s="82">
        <f t="shared" si="156"/>
        <v>0</v>
      </c>
    </row>
    <row r="882" spans="1:15" ht="16.5" customHeight="1" x14ac:dyDescent="0.2">
      <c r="A882" s="40"/>
      <c r="B882" s="45" t="s">
        <v>423</v>
      </c>
      <c r="C882" s="41"/>
      <c r="D882" s="41">
        <v>2</v>
      </c>
      <c r="E882" s="90">
        <f>5.6+1*2</f>
        <v>7.6</v>
      </c>
      <c r="F882" s="90"/>
      <c r="G882" s="90">
        <v>1</v>
      </c>
      <c r="H882" s="89">
        <f t="shared" si="167"/>
        <v>15.2</v>
      </c>
      <c r="I882" s="90"/>
      <c r="J882" s="90"/>
      <c r="K882" s="163"/>
      <c r="L882" s="163"/>
      <c r="M882" s="158"/>
      <c r="O882" s="82">
        <f t="shared" si="156"/>
        <v>0</v>
      </c>
    </row>
    <row r="883" spans="1:15" ht="16.5" customHeight="1" x14ac:dyDescent="0.2">
      <c r="A883" s="40"/>
      <c r="B883" s="45"/>
      <c r="C883" s="41"/>
      <c r="D883" s="41">
        <v>2</v>
      </c>
      <c r="E883" s="90">
        <v>4.5999999999999996</v>
      </c>
      <c r="F883" s="90"/>
      <c r="G883" s="90">
        <v>1</v>
      </c>
      <c r="H883" s="89">
        <f t="shared" ref="H883" si="168">PRODUCT(D883:G883)</f>
        <v>9.1999999999999993</v>
      </c>
      <c r="I883" s="90"/>
      <c r="J883" s="90"/>
      <c r="K883" s="163"/>
      <c r="L883" s="163"/>
      <c r="M883" s="158"/>
      <c r="O883" s="82">
        <f t="shared" si="156"/>
        <v>0</v>
      </c>
    </row>
    <row r="884" spans="1:15" ht="16.5" customHeight="1" x14ac:dyDescent="0.2">
      <c r="A884" s="40"/>
      <c r="B884" s="45"/>
      <c r="C884" s="41"/>
      <c r="D884" s="41"/>
      <c r="E884" s="90"/>
      <c r="F884" s="90"/>
      <c r="G884" s="90"/>
      <c r="H884" s="89">
        <f t="shared" si="162"/>
        <v>0</v>
      </c>
      <c r="I884" s="90">
        <f>SUM(H870:H883)</f>
        <v>424</v>
      </c>
      <c r="J884" s="90"/>
      <c r="K884" s="163"/>
      <c r="L884" s="163"/>
      <c r="M884" s="158"/>
      <c r="O884" s="82">
        <f t="shared" si="156"/>
        <v>0</v>
      </c>
    </row>
    <row r="885" spans="1:15" ht="15.95" customHeight="1" x14ac:dyDescent="0.2">
      <c r="A885" s="40" t="s">
        <v>204</v>
      </c>
      <c r="B885" s="46" t="s">
        <v>370</v>
      </c>
      <c r="C885" s="41" t="s">
        <v>4</v>
      </c>
      <c r="D885" s="41"/>
      <c r="E885" s="90"/>
      <c r="F885" s="90"/>
      <c r="G885" s="90"/>
      <c r="H885" s="90"/>
      <c r="I885" s="90"/>
      <c r="J885" s="90">
        <f>SUM(I890)</f>
        <v>2670</v>
      </c>
      <c r="K885" s="163">
        <v>2670</v>
      </c>
      <c r="L885" s="163">
        <v>140</v>
      </c>
      <c r="M885" s="158">
        <f t="shared" si="128"/>
        <v>373800</v>
      </c>
      <c r="O885" s="82">
        <f t="shared" si="156"/>
        <v>0</v>
      </c>
    </row>
    <row r="886" spans="1:15" ht="15.95" customHeight="1" x14ac:dyDescent="0.2">
      <c r="A886" s="40"/>
      <c r="B886" s="118" t="s">
        <v>505</v>
      </c>
      <c r="C886" s="41"/>
      <c r="D886" s="41"/>
      <c r="E886" s="90"/>
      <c r="F886" s="90"/>
      <c r="G886" s="90"/>
      <c r="H886" s="90"/>
      <c r="I886" s="90"/>
      <c r="J886" s="90"/>
      <c r="K886" s="163"/>
      <c r="L886" s="163"/>
      <c r="M886" s="158"/>
      <c r="O886" s="82">
        <f t="shared" si="156"/>
        <v>0</v>
      </c>
    </row>
    <row r="887" spans="1:15" ht="16.5" customHeight="1" x14ac:dyDescent="0.2">
      <c r="A887" s="40"/>
      <c r="B887" s="45"/>
      <c r="C887" s="41"/>
      <c r="D887" s="41">
        <v>1</v>
      </c>
      <c r="E887" s="90">
        <v>690</v>
      </c>
      <c r="F887" s="90"/>
      <c r="G887" s="90">
        <v>1</v>
      </c>
      <c r="H887" s="89">
        <f t="shared" ref="H887" si="169">PRODUCT(D887:G887)</f>
        <v>690</v>
      </c>
      <c r="I887" s="90"/>
      <c r="J887" s="90"/>
      <c r="K887" s="163"/>
      <c r="L887" s="163"/>
      <c r="M887" s="158"/>
      <c r="O887" s="82">
        <f t="shared" si="156"/>
        <v>0</v>
      </c>
    </row>
    <row r="888" spans="1:15" ht="16.5" customHeight="1" x14ac:dyDescent="0.2">
      <c r="A888" s="40"/>
      <c r="B888" s="119" t="s">
        <v>506</v>
      </c>
      <c r="C888" s="41"/>
      <c r="D888" s="41"/>
      <c r="E888" s="90"/>
      <c r="F888" s="90"/>
      <c r="G888" s="90"/>
      <c r="H888" s="89">
        <f t="shared" ref="H888:H889" si="170">PRODUCT(D888:G888)</f>
        <v>0</v>
      </c>
      <c r="I888" s="90"/>
      <c r="J888" s="90"/>
      <c r="K888" s="163"/>
      <c r="L888" s="163"/>
      <c r="M888" s="158"/>
      <c r="O888" s="82">
        <f t="shared" si="156"/>
        <v>0</v>
      </c>
    </row>
    <row r="889" spans="1:15" ht="16.5" customHeight="1" x14ac:dyDescent="0.2">
      <c r="A889" s="40"/>
      <c r="B889" s="45"/>
      <c r="C889" s="41"/>
      <c r="D889" s="41">
        <v>1</v>
      </c>
      <c r="E889" s="90">
        <f>1430+550</f>
        <v>1980</v>
      </c>
      <c r="F889" s="90"/>
      <c r="G889" s="90">
        <v>1</v>
      </c>
      <c r="H889" s="89">
        <f t="shared" si="170"/>
        <v>1980</v>
      </c>
      <c r="I889" s="90"/>
      <c r="J889" s="90"/>
      <c r="K889" s="163"/>
      <c r="L889" s="163"/>
      <c r="M889" s="158"/>
      <c r="O889" s="82">
        <f t="shared" si="156"/>
        <v>0</v>
      </c>
    </row>
    <row r="890" spans="1:15" ht="15.95" customHeight="1" x14ac:dyDescent="0.2">
      <c r="A890" s="40"/>
      <c r="B890" s="46"/>
      <c r="C890" s="41"/>
      <c r="D890" s="41"/>
      <c r="E890" s="90"/>
      <c r="F890" s="90"/>
      <c r="G890" s="90"/>
      <c r="H890" s="90"/>
      <c r="I890" s="90">
        <f>SUM(H886:H889)</f>
        <v>2670</v>
      </c>
      <c r="J890" s="90"/>
      <c r="K890" s="163"/>
      <c r="L890" s="163"/>
      <c r="M890" s="158"/>
      <c r="O890" s="82">
        <f t="shared" si="156"/>
        <v>0</v>
      </c>
    </row>
    <row r="891" spans="1:15" ht="15.95" customHeight="1" x14ac:dyDescent="0.2">
      <c r="A891" s="40"/>
      <c r="B891" s="46"/>
      <c r="C891" s="41"/>
      <c r="D891" s="41"/>
      <c r="E891" s="90"/>
      <c r="F891" s="90"/>
      <c r="G891" s="90"/>
      <c r="H891" s="90"/>
      <c r="I891" s="90"/>
      <c r="J891" s="90"/>
      <c r="K891" s="163"/>
      <c r="L891" s="163"/>
      <c r="M891" s="158"/>
      <c r="O891" s="82">
        <f t="shared" si="156"/>
        <v>0</v>
      </c>
    </row>
    <row r="892" spans="1:15" ht="15.95" customHeight="1" x14ac:dyDescent="0.2">
      <c r="A892" s="40"/>
      <c r="B892" s="46"/>
      <c r="C892" s="41"/>
      <c r="D892" s="41"/>
      <c r="E892" s="90"/>
      <c r="F892" s="90"/>
      <c r="G892" s="90"/>
      <c r="H892" s="90"/>
      <c r="I892" s="90"/>
      <c r="J892" s="90"/>
      <c r="K892" s="163"/>
      <c r="L892" s="163"/>
      <c r="M892" s="158"/>
      <c r="O892" s="82">
        <f t="shared" si="156"/>
        <v>0</v>
      </c>
    </row>
    <row r="893" spans="1:15" ht="15.95" customHeight="1" x14ac:dyDescent="0.2">
      <c r="A893" s="40"/>
      <c r="B893" s="46"/>
      <c r="C893" s="41"/>
      <c r="D893" s="41"/>
      <c r="E893" s="90"/>
      <c r="F893" s="90"/>
      <c r="G893" s="90"/>
      <c r="H893" s="90"/>
      <c r="I893" s="90"/>
      <c r="J893" s="90"/>
      <c r="K893" s="163"/>
      <c r="L893" s="163"/>
      <c r="M893" s="158"/>
      <c r="O893" s="82">
        <f t="shared" si="156"/>
        <v>0</v>
      </c>
    </row>
    <row r="894" spans="1:15" ht="18" customHeight="1" x14ac:dyDescent="0.2">
      <c r="A894" s="250" t="s">
        <v>106</v>
      </c>
      <c r="B894" s="251"/>
      <c r="C894" s="251"/>
      <c r="D894" s="251"/>
      <c r="E894" s="251"/>
      <c r="F894" s="251"/>
      <c r="G894" s="251"/>
      <c r="H894" s="251"/>
      <c r="I894" s="251"/>
      <c r="J894" s="251"/>
      <c r="K894" s="251"/>
      <c r="L894" s="252"/>
      <c r="M894" s="159">
        <f>SUM(M692:M893)</f>
        <v>600410</v>
      </c>
      <c r="O894" s="82">
        <f t="shared" si="156"/>
        <v>0</v>
      </c>
    </row>
    <row r="895" spans="1:15" ht="18" customHeight="1" x14ac:dyDescent="0.2">
      <c r="A895" s="24"/>
      <c r="B895" s="25" t="s">
        <v>292</v>
      </c>
      <c r="C895" s="26"/>
      <c r="D895" s="26"/>
      <c r="E895" s="88"/>
      <c r="F895" s="88"/>
      <c r="G895" s="88"/>
      <c r="H895" s="88"/>
      <c r="I895" s="88"/>
      <c r="J895" s="88"/>
      <c r="K895" s="155"/>
      <c r="L895" s="155"/>
      <c r="M895" s="158"/>
      <c r="O895" s="82">
        <f t="shared" si="156"/>
        <v>0</v>
      </c>
    </row>
    <row r="896" spans="1:15" ht="18" customHeight="1" x14ac:dyDescent="0.2">
      <c r="A896" s="30"/>
      <c r="B896" s="31" t="s">
        <v>10</v>
      </c>
      <c r="C896" s="32"/>
      <c r="D896" s="32"/>
      <c r="E896" s="89"/>
      <c r="F896" s="89"/>
      <c r="G896" s="89"/>
      <c r="H896" s="89"/>
      <c r="I896" s="89"/>
      <c r="J896" s="89"/>
      <c r="K896" s="157"/>
      <c r="L896" s="157"/>
      <c r="M896" s="158"/>
      <c r="O896" s="82">
        <f t="shared" si="156"/>
        <v>0</v>
      </c>
    </row>
    <row r="897" spans="1:15" ht="18" customHeight="1" x14ac:dyDescent="0.2">
      <c r="A897" s="30" t="s">
        <v>342</v>
      </c>
      <c r="B897" s="39" t="s">
        <v>443</v>
      </c>
      <c r="C897" s="32" t="s">
        <v>4</v>
      </c>
      <c r="D897" s="32"/>
      <c r="E897" s="89"/>
      <c r="F897" s="89"/>
      <c r="G897" s="89"/>
      <c r="H897" s="89"/>
      <c r="I897" s="89"/>
      <c r="J897" s="89">
        <f>SUM(I898:I910)</f>
        <v>13.420000000000002</v>
      </c>
      <c r="K897" s="157">
        <v>15</v>
      </c>
      <c r="L897" s="157">
        <v>700</v>
      </c>
      <c r="M897" s="158">
        <f>+L897*K897</f>
        <v>10500</v>
      </c>
      <c r="O897" s="82">
        <f t="shared" si="156"/>
        <v>1.5799999999999983</v>
      </c>
    </row>
    <row r="898" spans="1:15" s="5" customFormat="1" ht="16.149999999999999" customHeight="1" x14ac:dyDescent="0.2">
      <c r="A898" s="30"/>
      <c r="B898" s="98" t="s">
        <v>464</v>
      </c>
      <c r="C898" s="32"/>
      <c r="D898" s="32"/>
      <c r="E898" s="89"/>
      <c r="F898" s="89"/>
      <c r="G898" s="89"/>
      <c r="H898" s="89"/>
      <c r="I898" s="89"/>
      <c r="K898" s="157"/>
      <c r="L898" s="157"/>
      <c r="M898" s="158"/>
      <c r="O898" s="82">
        <f t="shared" si="156"/>
        <v>0</v>
      </c>
    </row>
    <row r="899" spans="1:15" ht="16.5" customHeight="1" x14ac:dyDescent="0.2">
      <c r="A899" s="40"/>
      <c r="B899" s="45"/>
      <c r="C899" s="41"/>
      <c r="D899" s="41">
        <v>0</v>
      </c>
      <c r="E899" s="90"/>
      <c r="F899" s="90"/>
      <c r="G899" s="90"/>
      <c r="H899" s="89">
        <f t="shared" ref="H899:H910" si="171">PRODUCT(D899:G899)</f>
        <v>0</v>
      </c>
      <c r="I899" s="90">
        <f>SUM(H899:H899)</f>
        <v>0</v>
      </c>
      <c r="J899" s="90"/>
      <c r="K899" s="163"/>
      <c r="L899" s="163"/>
      <c r="M899" s="158"/>
      <c r="O899" s="82">
        <f t="shared" si="156"/>
        <v>0</v>
      </c>
    </row>
    <row r="900" spans="1:15" ht="16.5" customHeight="1" x14ac:dyDescent="0.2">
      <c r="A900" s="40"/>
      <c r="B900" s="45"/>
      <c r="C900" s="41"/>
      <c r="D900" s="41"/>
      <c r="E900" s="90"/>
      <c r="F900" s="90"/>
      <c r="G900" s="90"/>
      <c r="H900" s="89"/>
      <c r="I900" s="90"/>
      <c r="J900" s="90"/>
      <c r="K900" s="163"/>
      <c r="L900" s="163"/>
      <c r="M900" s="158"/>
      <c r="O900" s="82">
        <f t="shared" si="156"/>
        <v>0</v>
      </c>
    </row>
    <row r="901" spans="1:15" s="5" customFormat="1" ht="16.149999999999999" customHeight="1" x14ac:dyDescent="0.2">
      <c r="A901" s="30"/>
      <c r="B901" s="98" t="s">
        <v>465</v>
      </c>
      <c r="C901" s="32"/>
      <c r="D901" s="32"/>
      <c r="E901" s="89"/>
      <c r="F901" s="89"/>
      <c r="G901" s="89"/>
      <c r="H901" s="89">
        <f t="shared" si="171"/>
        <v>0</v>
      </c>
      <c r="I901" s="89"/>
      <c r="J901" s="89"/>
      <c r="K901" s="157"/>
      <c r="L901" s="157"/>
      <c r="M901" s="158"/>
      <c r="O901" s="82">
        <f t="shared" si="156"/>
        <v>0</v>
      </c>
    </row>
    <row r="902" spans="1:15" ht="16.5" customHeight="1" x14ac:dyDescent="0.2">
      <c r="A902" s="40"/>
      <c r="B902" s="45"/>
      <c r="C902" s="41"/>
      <c r="D902" s="41">
        <v>3</v>
      </c>
      <c r="E902" s="90">
        <v>0.9</v>
      </c>
      <c r="F902" s="90"/>
      <c r="G902" s="90">
        <v>2.2000000000000002</v>
      </c>
      <c r="H902" s="89">
        <f t="shared" si="171"/>
        <v>5.9400000000000013</v>
      </c>
      <c r="I902" s="90"/>
      <c r="J902" s="90"/>
      <c r="K902" s="163"/>
      <c r="L902" s="163"/>
      <c r="M902" s="158"/>
      <c r="O902" s="82">
        <f t="shared" ref="O902:O965" si="172">K902-J902</f>
        <v>0</v>
      </c>
    </row>
    <row r="903" spans="1:15" ht="16.5" customHeight="1" x14ac:dyDescent="0.2">
      <c r="A903" s="40"/>
      <c r="B903" s="45"/>
      <c r="C903" s="41"/>
      <c r="D903" s="41">
        <v>2</v>
      </c>
      <c r="E903" s="90">
        <v>0.8</v>
      </c>
      <c r="F903" s="90"/>
      <c r="G903" s="90">
        <v>2.2000000000000002</v>
      </c>
      <c r="H903" s="89">
        <f t="shared" ref="H903" si="173">PRODUCT(D903:G903)</f>
        <v>3.5200000000000005</v>
      </c>
      <c r="I903" s="90"/>
      <c r="J903" s="90"/>
      <c r="K903" s="163"/>
      <c r="L903" s="163"/>
      <c r="M903" s="158"/>
      <c r="O903" s="82">
        <f t="shared" si="172"/>
        <v>0</v>
      </c>
    </row>
    <row r="904" spans="1:15" ht="16.5" customHeight="1" x14ac:dyDescent="0.2">
      <c r="A904" s="40"/>
      <c r="B904" s="45"/>
      <c r="C904" s="41"/>
      <c r="D904" s="41">
        <v>1</v>
      </c>
      <c r="E904" s="90">
        <v>1.8</v>
      </c>
      <c r="F904" s="90"/>
      <c r="G904" s="90">
        <v>2.2000000000000002</v>
      </c>
      <c r="H904" s="89">
        <f t="shared" si="171"/>
        <v>3.9600000000000004</v>
      </c>
      <c r="I904" s="90"/>
      <c r="J904" s="90"/>
      <c r="K904" s="163"/>
      <c r="L904" s="163"/>
      <c r="M904" s="158"/>
      <c r="O904" s="82">
        <f t="shared" si="172"/>
        <v>0</v>
      </c>
    </row>
    <row r="905" spans="1:15" ht="16.5" customHeight="1" x14ac:dyDescent="0.2">
      <c r="A905" s="40"/>
      <c r="B905" s="45"/>
      <c r="C905" s="41"/>
      <c r="D905" s="41"/>
      <c r="E905" s="90"/>
      <c r="F905" s="90"/>
      <c r="G905" s="90"/>
      <c r="H905" s="89">
        <f t="shared" si="171"/>
        <v>0</v>
      </c>
      <c r="I905" s="90">
        <f>SUM(H902:H905)</f>
        <v>13.420000000000002</v>
      </c>
      <c r="J905" s="90"/>
      <c r="K905" s="163"/>
      <c r="L905" s="163"/>
      <c r="M905" s="158"/>
      <c r="O905" s="82">
        <f t="shared" si="172"/>
        <v>0</v>
      </c>
    </row>
    <row r="906" spans="1:15" s="5" customFormat="1" ht="16.149999999999999" customHeight="1" x14ac:dyDescent="0.2">
      <c r="A906" s="30"/>
      <c r="B906" s="98" t="s">
        <v>466</v>
      </c>
      <c r="C906" s="32"/>
      <c r="D906" s="32"/>
      <c r="E906" s="89"/>
      <c r="F906" s="89"/>
      <c r="G906" s="89"/>
      <c r="H906" s="89">
        <f t="shared" si="171"/>
        <v>0</v>
      </c>
      <c r="I906" s="89"/>
      <c r="J906" s="89"/>
      <c r="K906" s="157"/>
      <c r="L906" s="157"/>
      <c r="M906" s="158"/>
      <c r="O906" s="82">
        <f t="shared" si="172"/>
        <v>0</v>
      </c>
    </row>
    <row r="907" spans="1:15" ht="16.5" customHeight="1" x14ac:dyDescent="0.2">
      <c r="A907" s="40"/>
      <c r="B907" s="45"/>
      <c r="C907" s="41"/>
      <c r="D907" s="41">
        <v>0</v>
      </c>
      <c r="E907" s="90"/>
      <c r="F907" s="90"/>
      <c r="G907" s="90"/>
      <c r="H907" s="89">
        <f t="shared" si="171"/>
        <v>0</v>
      </c>
      <c r="I907" s="90"/>
      <c r="J907" s="90"/>
      <c r="K907" s="163"/>
      <c r="L907" s="163"/>
      <c r="M907" s="158"/>
      <c r="O907" s="82">
        <f t="shared" si="172"/>
        <v>0</v>
      </c>
    </row>
    <row r="908" spans="1:15" ht="16.5" customHeight="1" x14ac:dyDescent="0.2">
      <c r="A908" s="40"/>
      <c r="B908" s="45"/>
      <c r="C908" s="41"/>
      <c r="D908" s="41"/>
      <c r="E908" s="90"/>
      <c r="F908" s="90"/>
      <c r="G908" s="90"/>
      <c r="H908" s="89">
        <f t="shared" si="171"/>
        <v>0</v>
      </c>
      <c r="I908" s="90">
        <f>SUM(H907:H907)</f>
        <v>0</v>
      </c>
      <c r="J908" s="90"/>
      <c r="K908" s="163"/>
      <c r="L908" s="163"/>
      <c r="M908" s="158"/>
      <c r="O908" s="82">
        <f t="shared" si="172"/>
        <v>0</v>
      </c>
    </row>
    <row r="909" spans="1:15" s="5" customFormat="1" ht="16.149999999999999" customHeight="1" x14ac:dyDescent="0.2">
      <c r="A909" s="30"/>
      <c r="B909" s="98" t="s">
        <v>467</v>
      </c>
      <c r="C909" s="32"/>
      <c r="D909" s="32"/>
      <c r="E909" s="89"/>
      <c r="F909" s="89"/>
      <c r="G909" s="89"/>
      <c r="H909" s="89">
        <f t="shared" si="171"/>
        <v>0</v>
      </c>
      <c r="I909" s="90">
        <f t="shared" ref="I909:I910" si="174">SUM(H908:H908)</f>
        <v>0</v>
      </c>
      <c r="J909" s="89"/>
      <c r="K909" s="157"/>
      <c r="L909" s="157"/>
      <c r="M909" s="158"/>
      <c r="O909" s="82">
        <f t="shared" si="172"/>
        <v>0</v>
      </c>
    </row>
    <row r="910" spans="1:15" ht="15.95" customHeight="1" x14ac:dyDescent="0.2">
      <c r="A910" s="40"/>
      <c r="B910" s="45"/>
      <c r="C910" s="41"/>
      <c r="D910" s="41">
        <v>0</v>
      </c>
      <c r="E910" s="90"/>
      <c r="F910" s="90"/>
      <c r="G910" s="90"/>
      <c r="H910" s="89">
        <f t="shared" si="171"/>
        <v>0</v>
      </c>
      <c r="I910" s="90">
        <f t="shared" si="174"/>
        <v>0</v>
      </c>
      <c r="J910" s="90"/>
      <c r="K910" s="163"/>
      <c r="L910" s="163"/>
      <c r="M910" s="158"/>
      <c r="N910" s="43"/>
      <c r="O910" s="82">
        <f t="shared" si="172"/>
        <v>0</v>
      </c>
    </row>
    <row r="911" spans="1:15" ht="18" customHeight="1" x14ac:dyDescent="0.2">
      <c r="A911" s="30"/>
      <c r="B911" s="39"/>
      <c r="C911" s="32"/>
      <c r="D911" s="32"/>
      <c r="E911" s="89"/>
      <c r="F911" s="89"/>
      <c r="G911" s="89"/>
      <c r="H911" s="89"/>
      <c r="I911" s="89"/>
      <c r="J911" s="89"/>
      <c r="K911" s="157"/>
      <c r="L911" s="157"/>
      <c r="M911" s="158"/>
      <c r="O911" s="82">
        <f t="shared" si="172"/>
        <v>0</v>
      </c>
    </row>
    <row r="912" spans="1:15" ht="18" customHeight="1" x14ac:dyDescent="0.2">
      <c r="A912" s="30" t="s">
        <v>208</v>
      </c>
      <c r="B912" s="39" t="s">
        <v>444</v>
      </c>
      <c r="C912" s="32" t="s">
        <v>4</v>
      </c>
      <c r="D912" s="32"/>
      <c r="E912" s="89"/>
      <c r="F912" s="89"/>
      <c r="G912" s="89"/>
      <c r="H912" s="89"/>
      <c r="I912" s="89"/>
      <c r="J912" s="89">
        <f>SUM(I913:I922)</f>
        <v>31.152000000000005</v>
      </c>
      <c r="K912" s="157">
        <v>32</v>
      </c>
      <c r="L912" s="157">
        <v>650</v>
      </c>
      <c r="M912" s="158">
        <f>+L912*K912</f>
        <v>20800</v>
      </c>
      <c r="O912" s="82">
        <f t="shared" si="172"/>
        <v>0.84799999999999542</v>
      </c>
    </row>
    <row r="913" spans="1:15" s="5" customFormat="1" ht="16.149999999999999" customHeight="1" x14ac:dyDescent="0.2">
      <c r="A913" s="30"/>
      <c r="B913" s="98" t="s">
        <v>464</v>
      </c>
      <c r="C913" s="32"/>
      <c r="D913" s="32"/>
      <c r="E913" s="89"/>
      <c r="F913" s="89"/>
      <c r="G913" s="89"/>
      <c r="H913" s="89"/>
      <c r="I913" s="89"/>
      <c r="K913" s="157"/>
      <c r="L913" s="157"/>
      <c r="M913" s="158"/>
      <c r="O913" s="82">
        <f t="shared" si="172"/>
        <v>0</v>
      </c>
    </row>
    <row r="914" spans="1:15" ht="16.5" customHeight="1" x14ac:dyDescent="0.2">
      <c r="A914" s="40"/>
      <c r="B914" s="45"/>
      <c r="C914" s="41"/>
      <c r="D914" s="41">
        <v>4</v>
      </c>
      <c r="E914" s="90">
        <v>1.1399999999999999</v>
      </c>
      <c r="F914" s="90"/>
      <c r="G914" s="90">
        <v>2.2000000000000002</v>
      </c>
      <c r="H914" s="89">
        <f t="shared" ref="H914" si="175">PRODUCT(D914:G914)</f>
        <v>10.032</v>
      </c>
      <c r="I914" s="90">
        <f>SUM(H914:H914)</f>
        <v>10.032</v>
      </c>
      <c r="J914" s="90"/>
      <c r="K914" s="163"/>
      <c r="L914" s="163"/>
      <c r="M914" s="158"/>
      <c r="O914" s="82">
        <f t="shared" si="172"/>
        <v>0</v>
      </c>
    </row>
    <row r="915" spans="1:15" ht="16.5" customHeight="1" x14ac:dyDescent="0.2">
      <c r="A915" s="40"/>
      <c r="B915" s="45"/>
      <c r="C915" s="41"/>
      <c r="D915" s="41"/>
      <c r="E915" s="90"/>
      <c r="F915" s="90"/>
      <c r="G915" s="90"/>
      <c r="H915" s="89"/>
      <c r="I915" s="90"/>
      <c r="J915" s="90"/>
      <c r="K915" s="163"/>
      <c r="L915" s="163"/>
      <c r="M915" s="158"/>
      <c r="O915" s="82">
        <f t="shared" si="172"/>
        <v>0</v>
      </c>
    </row>
    <row r="916" spans="1:15" s="5" customFormat="1" ht="16.149999999999999" customHeight="1" x14ac:dyDescent="0.2">
      <c r="A916" s="30"/>
      <c r="B916" s="98" t="s">
        <v>465</v>
      </c>
      <c r="C916" s="32"/>
      <c r="D916" s="32"/>
      <c r="E916" s="89"/>
      <c r="F916" s="89"/>
      <c r="G916" s="89"/>
      <c r="H916" s="89">
        <f t="shared" ref="H916:H922" si="176">PRODUCT(D916:G916)</f>
        <v>0</v>
      </c>
      <c r="I916" s="89"/>
      <c r="J916" s="89"/>
      <c r="K916" s="157"/>
      <c r="L916" s="157"/>
      <c r="M916" s="158"/>
      <c r="O916" s="82">
        <f t="shared" si="172"/>
        <v>0</v>
      </c>
    </row>
    <row r="917" spans="1:15" ht="16.5" customHeight="1" x14ac:dyDescent="0.2">
      <c r="A917" s="40"/>
      <c r="B917" s="45"/>
      <c r="C917" s="41"/>
      <c r="D917" s="41"/>
      <c r="E917" s="90"/>
      <c r="F917" s="90"/>
      <c r="G917" s="90"/>
      <c r="H917" s="89">
        <f t="shared" si="176"/>
        <v>0</v>
      </c>
      <c r="I917" s="90">
        <f>SUM(H917:H917)</f>
        <v>0</v>
      </c>
      <c r="J917" s="90"/>
      <c r="K917" s="163"/>
      <c r="L917" s="163"/>
      <c r="M917" s="158"/>
      <c r="O917" s="82">
        <f t="shared" si="172"/>
        <v>0</v>
      </c>
    </row>
    <row r="918" spans="1:15" s="5" customFormat="1" ht="16.149999999999999" customHeight="1" x14ac:dyDescent="0.2">
      <c r="A918" s="30"/>
      <c r="B918" s="98" t="s">
        <v>466</v>
      </c>
      <c r="C918" s="32"/>
      <c r="D918" s="32"/>
      <c r="E918" s="89"/>
      <c r="F918" s="89"/>
      <c r="G918" s="89"/>
      <c r="H918" s="89">
        <f t="shared" si="176"/>
        <v>0</v>
      </c>
      <c r="I918" s="89"/>
      <c r="J918" s="89"/>
      <c r="K918" s="157"/>
      <c r="L918" s="157"/>
      <c r="M918" s="158"/>
      <c r="O918" s="82">
        <f t="shared" si="172"/>
        <v>0</v>
      </c>
    </row>
    <row r="919" spans="1:15" ht="16.5" customHeight="1" x14ac:dyDescent="0.2">
      <c r="A919" s="40"/>
      <c r="B919" s="45"/>
      <c r="C919" s="41"/>
      <c r="D919" s="41">
        <v>12</v>
      </c>
      <c r="E919" s="90">
        <v>0.8</v>
      </c>
      <c r="F919" s="90"/>
      <c r="G919" s="90">
        <v>2.2000000000000002</v>
      </c>
      <c r="H919" s="89">
        <f t="shared" si="176"/>
        <v>21.120000000000005</v>
      </c>
      <c r="I919" s="90"/>
      <c r="J919" s="90"/>
      <c r="K919" s="163"/>
      <c r="L919" s="163"/>
      <c r="M919" s="158"/>
      <c r="O919" s="82">
        <f t="shared" si="172"/>
        <v>0</v>
      </c>
    </row>
    <row r="920" spans="1:15" ht="16.5" customHeight="1" x14ac:dyDescent="0.2">
      <c r="A920" s="40"/>
      <c r="B920" s="45"/>
      <c r="C920" s="41"/>
      <c r="D920" s="41"/>
      <c r="E920" s="90"/>
      <c r="F920" s="90"/>
      <c r="G920" s="90"/>
      <c r="H920" s="89">
        <f t="shared" si="176"/>
        <v>0</v>
      </c>
      <c r="I920" s="90">
        <f>SUM(H919:H919)</f>
        <v>21.120000000000005</v>
      </c>
      <c r="J920" s="90"/>
      <c r="K920" s="163"/>
      <c r="L920" s="163"/>
      <c r="M920" s="158"/>
      <c r="O920" s="82">
        <f t="shared" si="172"/>
        <v>0</v>
      </c>
    </row>
    <row r="921" spans="1:15" s="5" customFormat="1" ht="16.149999999999999" customHeight="1" x14ac:dyDescent="0.2">
      <c r="A921" s="30"/>
      <c r="B921" s="98" t="s">
        <v>467</v>
      </c>
      <c r="C921" s="32"/>
      <c r="D921" s="32"/>
      <c r="E921" s="89"/>
      <c r="F921" s="89"/>
      <c r="G921" s="89"/>
      <c r="H921" s="89">
        <f t="shared" si="176"/>
        <v>0</v>
      </c>
      <c r="I921" s="90">
        <f t="shared" ref="I921:I922" si="177">SUM(H920:H920)</f>
        <v>0</v>
      </c>
      <c r="J921" s="89"/>
      <c r="K921" s="157"/>
      <c r="L921" s="157"/>
      <c r="M921" s="158"/>
      <c r="O921" s="82">
        <f t="shared" si="172"/>
        <v>0</v>
      </c>
    </row>
    <row r="922" spans="1:15" ht="15.95" customHeight="1" x14ac:dyDescent="0.2">
      <c r="A922" s="40"/>
      <c r="B922" s="45"/>
      <c r="C922" s="41"/>
      <c r="D922" s="41"/>
      <c r="E922" s="90"/>
      <c r="F922" s="90"/>
      <c r="G922" s="90"/>
      <c r="H922" s="89">
        <f t="shared" si="176"/>
        <v>0</v>
      </c>
      <c r="I922" s="90">
        <f t="shared" si="177"/>
        <v>0</v>
      </c>
      <c r="J922" s="90"/>
      <c r="K922" s="163"/>
      <c r="L922" s="163"/>
      <c r="M922" s="158"/>
      <c r="N922" s="43"/>
      <c r="O922" s="82">
        <f t="shared" si="172"/>
        <v>0</v>
      </c>
    </row>
    <row r="923" spans="1:15" ht="15.95" customHeight="1" x14ac:dyDescent="0.2">
      <c r="A923" s="40"/>
      <c r="B923" s="45"/>
      <c r="C923" s="41"/>
      <c r="D923" s="41"/>
      <c r="E923" s="90"/>
      <c r="F923" s="90"/>
      <c r="G923" s="90"/>
      <c r="H923" s="89"/>
      <c r="I923" s="90">
        <f>SUM(H922:H923)</f>
        <v>0</v>
      </c>
      <c r="J923" s="90"/>
      <c r="K923" s="163"/>
      <c r="L923" s="163"/>
      <c r="M923" s="158"/>
      <c r="N923" s="43"/>
      <c r="O923" s="82">
        <f t="shared" si="172"/>
        <v>0</v>
      </c>
    </row>
    <row r="924" spans="1:15" ht="18" customHeight="1" x14ac:dyDescent="0.2">
      <c r="A924" s="30" t="s">
        <v>406</v>
      </c>
      <c r="B924" s="39" t="s">
        <v>92</v>
      </c>
      <c r="C924" s="41" t="s">
        <v>4</v>
      </c>
      <c r="D924" s="41"/>
      <c r="E924" s="90"/>
      <c r="F924" s="90"/>
      <c r="G924" s="90"/>
      <c r="H924" s="90"/>
      <c r="I924" s="90"/>
      <c r="J924" s="90">
        <f>SUM(I926:I932)</f>
        <v>26.879999999999995</v>
      </c>
      <c r="K924" s="157">
        <v>28</v>
      </c>
      <c r="L924" s="157">
        <v>650</v>
      </c>
      <c r="M924" s="158">
        <f>+L924*K924</f>
        <v>18200</v>
      </c>
      <c r="O924" s="82">
        <f t="shared" si="172"/>
        <v>1.1200000000000045</v>
      </c>
    </row>
    <row r="925" spans="1:15" s="5" customFormat="1" ht="16.149999999999999" customHeight="1" x14ac:dyDescent="0.2">
      <c r="A925" s="30"/>
      <c r="B925" s="98" t="s">
        <v>464</v>
      </c>
      <c r="C925" s="32"/>
      <c r="D925" s="32"/>
      <c r="E925" s="89"/>
      <c r="F925" s="89"/>
      <c r="G925" s="89"/>
      <c r="H925" s="89"/>
      <c r="I925" s="89"/>
      <c r="K925" s="157"/>
      <c r="L925" s="157"/>
      <c r="M925" s="158"/>
      <c r="O925" s="82">
        <f t="shared" si="172"/>
        <v>0</v>
      </c>
    </row>
    <row r="926" spans="1:15" ht="16.5" customHeight="1" x14ac:dyDescent="0.2">
      <c r="A926" s="40"/>
      <c r="B926" s="45"/>
      <c r="C926" s="41"/>
      <c r="D926" s="41">
        <v>4</v>
      </c>
      <c r="E926" s="90">
        <v>1.2</v>
      </c>
      <c r="F926" s="90"/>
      <c r="G926" s="90">
        <v>2.8</v>
      </c>
      <c r="H926" s="89">
        <f t="shared" ref="H926:H931" si="178">PRODUCT(D926:G926)</f>
        <v>13.44</v>
      </c>
      <c r="I926" s="90"/>
      <c r="J926" s="90"/>
      <c r="K926" s="163"/>
      <c r="L926" s="163"/>
      <c r="M926" s="158"/>
      <c r="O926" s="82">
        <f t="shared" si="172"/>
        <v>0</v>
      </c>
    </row>
    <row r="927" spans="1:15" ht="16.5" customHeight="1" x14ac:dyDescent="0.2">
      <c r="A927" s="40"/>
      <c r="B927" s="45"/>
      <c r="C927" s="41"/>
      <c r="D927" s="41"/>
      <c r="E927" s="90"/>
      <c r="F927" s="90"/>
      <c r="G927" s="90"/>
      <c r="H927" s="89">
        <f t="shared" si="178"/>
        <v>0</v>
      </c>
      <c r="I927" s="90">
        <f>SUM(H926:H927)</f>
        <v>13.44</v>
      </c>
      <c r="J927" s="90"/>
      <c r="K927" s="163"/>
      <c r="L927" s="163"/>
      <c r="M927" s="158"/>
      <c r="O927" s="82">
        <f t="shared" si="172"/>
        <v>0</v>
      </c>
    </row>
    <row r="928" spans="1:15" s="5" customFormat="1" ht="16.149999999999999" customHeight="1" x14ac:dyDescent="0.2">
      <c r="A928" s="30"/>
      <c r="B928" s="98" t="s">
        <v>465</v>
      </c>
      <c r="C928" s="32"/>
      <c r="D928" s="32"/>
      <c r="E928" s="89"/>
      <c r="F928" s="89"/>
      <c r="G928" s="89"/>
      <c r="H928" s="89">
        <f t="shared" si="178"/>
        <v>0</v>
      </c>
      <c r="I928" s="89"/>
      <c r="J928" s="89"/>
      <c r="K928" s="157"/>
      <c r="L928" s="157"/>
      <c r="M928" s="158"/>
      <c r="O928" s="82">
        <f t="shared" si="172"/>
        <v>0</v>
      </c>
    </row>
    <row r="929" spans="1:15" ht="16.5" customHeight="1" x14ac:dyDescent="0.2">
      <c r="A929" s="40"/>
      <c r="B929" s="45"/>
      <c r="C929" s="41"/>
      <c r="D929" s="41"/>
      <c r="E929" s="90"/>
      <c r="F929" s="90"/>
      <c r="G929" s="90"/>
      <c r="H929" s="89">
        <f t="shared" si="178"/>
        <v>0</v>
      </c>
      <c r="I929" s="90">
        <f>SUM(H929:H929)</f>
        <v>0</v>
      </c>
      <c r="J929" s="90"/>
      <c r="K929" s="163"/>
      <c r="L929" s="163"/>
      <c r="M929" s="158"/>
      <c r="O929" s="82">
        <f t="shared" si="172"/>
        <v>0</v>
      </c>
    </row>
    <row r="930" spans="1:15" ht="18" customHeight="1" x14ac:dyDescent="0.2">
      <c r="A930" s="30"/>
      <c r="B930" s="46"/>
      <c r="C930" s="41"/>
      <c r="D930" s="41">
        <v>1</v>
      </c>
      <c r="E930" s="90">
        <v>3</v>
      </c>
      <c r="F930" s="90"/>
      <c r="G930" s="90">
        <v>2.8</v>
      </c>
      <c r="H930" s="89">
        <f t="shared" si="178"/>
        <v>8.3999999999999986</v>
      </c>
      <c r="I930" s="90"/>
      <c r="J930" s="90"/>
      <c r="K930" s="157"/>
      <c r="L930" s="157"/>
      <c r="M930" s="158"/>
      <c r="O930" s="82">
        <f t="shared" si="172"/>
        <v>0</v>
      </c>
    </row>
    <row r="931" spans="1:15" ht="18" customHeight="1" x14ac:dyDescent="0.2">
      <c r="A931" s="30"/>
      <c r="B931" s="46"/>
      <c r="C931" s="41"/>
      <c r="D931" s="41">
        <v>1</v>
      </c>
      <c r="E931" s="90">
        <v>1.8</v>
      </c>
      <c r="F931" s="90"/>
      <c r="G931" s="90">
        <v>2.8</v>
      </c>
      <c r="H931" s="89">
        <f t="shared" si="178"/>
        <v>5.04</v>
      </c>
      <c r="I931" s="90"/>
      <c r="J931" s="90"/>
      <c r="K931" s="157"/>
      <c r="L931" s="157"/>
      <c r="M931" s="158"/>
      <c r="O931" s="82">
        <f t="shared" si="172"/>
        <v>0</v>
      </c>
    </row>
    <row r="932" spans="1:15" ht="18" customHeight="1" x14ac:dyDescent="0.2">
      <c r="A932" s="30"/>
      <c r="B932" s="46"/>
      <c r="C932" s="41"/>
      <c r="D932" s="41"/>
      <c r="E932" s="90"/>
      <c r="F932" s="90"/>
      <c r="G932" s="90"/>
      <c r="H932" s="90"/>
      <c r="I932" s="90">
        <f>SUM(H930:H931)</f>
        <v>13.439999999999998</v>
      </c>
      <c r="J932" s="90"/>
      <c r="K932" s="157"/>
      <c r="L932" s="157"/>
      <c r="M932" s="158"/>
      <c r="O932" s="82">
        <f t="shared" si="172"/>
        <v>0</v>
      </c>
    </row>
    <row r="933" spans="1:15" ht="18" customHeight="1" x14ac:dyDescent="0.2">
      <c r="A933" s="30"/>
      <c r="B933" s="46"/>
      <c r="C933" s="41"/>
      <c r="D933" s="41"/>
      <c r="E933" s="90"/>
      <c r="F933" s="90"/>
      <c r="G933" s="90"/>
      <c r="H933" s="89"/>
      <c r="I933" s="90"/>
      <c r="J933" s="90"/>
      <c r="K933" s="157"/>
      <c r="L933" s="157"/>
      <c r="M933" s="158"/>
      <c r="O933" s="82">
        <f t="shared" si="172"/>
        <v>0</v>
      </c>
    </row>
    <row r="934" spans="1:15" ht="18" customHeight="1" x14ac:dyDescent="0.2">
      <c r="A934" s="250" t="s">
        <v>108</v>
      </c>
      <c r="B934" s="251"/>
      <c r="C934" s="251"/>
      <c r="D934" s="251"/>
      <c r="E934" s="251"/>
      <c r="F934" s="251"/>
      <c r="G934" s="251"/>
      <c r="H934" s="251"/>
      <c r="I934" s="251"/>
      <c r="J934" s="251"/>
      <c r="K934" s="251"/>
      <c r="L934" s="252"/>
      <c r="M934" s="159">
        <f>SUM(M895:M933)</f>
        <v>49500</v>
      </c>
      <c r="O934" s="82">
        <f t="shared" si="172"/>
        <v>0</v>
      </c>
    </row>
    <row r="935" spans="1:15" ht="18" customHeight="1" x14ac:dyDescent="0.2">
      <c r="A935" s="24"/>
      <c r="B935" s="25" t="s">
        <v>40</v>
      </c>
      <c r="C935" s="26"/>
      <c r="D935" s="26"/>
      <c r="E935" s="88"/>
      <c r="F935" s="88"/>
      <c r="G935" s="88"/>
      <c r="H935" s="88"/>
      <c r="I935" s="88"/>
      <c r="J935" s="88"/>
      <c r="K935" s="155"/>
      <c r="L935" s="155"/>
      <c r="M935" s="158"/>
      <c r="O935" s="82">
        <f t="shared" si="172"/>
        <v>0</v>
      </c>
    </row>
    <row r="936" spans="1:15" ht="18" customHeight="1" x14ac:dyDescent="0.2">
      <c r="A936" s="56" t="s">
        <v>209</v>
      </c>
      <c r="B936" s="52" t="s">
        <v>514</v>
      </c>
      <c r="C936" s="41" t="s">
        <v>4</v>
      </c>
      <c r="D936" s="41"/>
      <c r="E936" s="90"/>
      <c r="F936" s="90"/>
      <c r="G936" s="90"/>
      <c r="H936" s="90"/>
      <c r="I936" s="90"/>
      <c r="J936" s="90">
        <f>SUM(I937:I949)</f>
        <v>45.180000000000007</v>
      </c>
      <c r="K936" s="163">
        <v>50</v>
      </c>
      <c r="L936" s="163">
        <v>1000</v>
      </c>
      <c r="M936" s="158">
        <f>+L936*K936</f>
        <v>50000</v>
      </c>
      <c r="O936" s="82">
        <f t="shared" si="172"/>
        <v>4.8199999999999932</v>
      </c>
    </row>
    <row r="937" spans="1:15" s="5" customFormat="1" ht="16.149999999999999" customHeight="1" x14ac:dyDescent="0.2">
      <c r="A937" s="30"/>
      <c r="B937" s="98" t="s">
        <v>464</v>
      </c>
      <c r="C937" s="32"/>
      <c r="D937" s="32"/>
      <c r="E937" s="89"/>
      <c r="F937" s="89"/>
      <c r="G937" s="89"/>
      <c r="H937" s="89"/>
      <c r="I937" s="89"/>
      <c r="K937" s="157"/>
      <c r="L937" s="157"/>
      <c r="M937" s="158"/>
      <c r="O937" s="82">
        <f t="shared" si="172"/>
        <v>0</v>
      </c>
    </row>
    <row r="938" spans="1:15" ht="16.5" customHeight="1" x14ac:dyDescent="0.2">
      <c r="A938" s="40"/>
      <c r="B938" s="45"/>
      <c r="C938" s="41"/>
      <c r="D938" s="41">
        <f>12*2</f>
        <v>24</v>
      </c>
      <c r="E938" s="90">
        <v>0.9</v>
      </c>
      <c r="F938" s="90"/>
      <c r="G938" s="90">
        <v>1.2</v>
      </c>
      <c r="H938" s="89">
        <f t="shared" ref="H938" si="179">PRODUCT(D938:G938)</f>
        <v>25.92</v>
      </c>
      <c r="I938" s="90">
        <f>SUM(H938:H938)</f>
        <v>25.92</v>
      </c>
      <c r="J938" s="90"/>
      <c r="K938" s="163"/>
      <c r="L938" s="163"/>
      <c r="M938" s="158"/>
      <c r="O938" s="82">
        <f t="shared" si="172"/>
        <v>0</v>
      </c>
    </row>
    <row r="939" spans="1:15" s="5" customFormat="1" ht="16.149999999999999" customHeight="1" x14ac:dyDescent="0.2">
      <c r="A939" s="30"/>
      <c r="B939" s="98" t="s">
        <v>465</v>
      </c>
      <c r="C939" s="32"/>
      <c r="D939" s="32"/>
      <c r="E939" s="89"/>
      <c r="F939" s="89"/>
      <c r="G939" s="89"/>
      <c r="H939" s="89">
        <f t="shared" ref="H939:H947" si="180">PRODUCT(D939:G939)</f>
        <v>0</v>
      </c>
      <c r="I939" s="89"/>
      <c r="J939" s="89"/>
      <c r="K939" s="157"/>
      <c r="L939" s="157"/>
      <c r="M939" s="158"/>
      <c r="O939" s="82">
        <f t="shared" si="172"/>
        <v>0</v>
      </c>
    </row>
    <row r="940" spans="1:15" ht="16.5" customHeight="1" x14ac:dyDescent="0.2">
      <c r="A940" s="40"/>
      <c r="B940" s="45"/>
      <c r="C940" s="41"/>
      <c r="D940" s="41">
        <v>10</v>
      </c>
      <c r="E940" s="90">
        <v>0.9</v>
      </c>
      <c r="F940" s="90"/>
      <c r="G940" s="90">
        <v>1.2</v>
      </c>
      <c r="H940" s="89">
        <f t="shared" si="180"/>
        <v>10.799999999999999</v>
      </c>
      <c r="I940" s="80"/>
      <c r="J940" s="90"/>
      <c r="K940" s="163"/>
      <c r="L940" s="163"/>
      <c r="M940" s="158"/>
      <c r="O940" s="82">
        <f t="shared" si="172"/>
        <v>0</v>
      </c>
    </row>
    <row r="941" spans="1:15" ht="16.5" customHeight="1" x14ac:dyDescent="0.2">
      <c r="A941" s="40"/>
      <c r="B941" s="45"/>
      <c r="C941" s="41"/>
      <c r="D941" s="41">
        <v>2</v>
      </c>
      <c r="E941" s="90">
        <v>0.9</v>
      </c>
      <c r="F941" s="90"/>
      <c r="G941" s="90">
        <v>0.5</v>
      </c>
      <c r="H941" s="89">
        <f t="shared" si="180"/>
        <v>0.9</v>
      </c>
      <c r="I941" s="90"/>
      <c r="J941" s="90"/>
      <c r="K941" s="163"/>
      <c r="L941" s="163"/>
      <c r="M941" s="158"/>
      <c r="O941" s="82">
        <f t="shared" si="172"/>
        <v>0</v>
      </c>
    </row>
    <row r="942" spans="1:15" ht="16.5" customHeight="1" x14ac:dyDescent="0.2">
      <c r="A942" s="40"/>
      <c r="B942" s="45"/>
      <c r="C942" s="41"/>
      <c r="D942" s="41"/>
      <c r="E942" s="90"/>
      <c r="F942" s="90"/>
      <c r="G942" s="90"/>
      <c r="H942" s="89"/>
      <c r="I942" s="90">
        <f>SUM(H940:H941)</f>
        <v>11.7</v>
      </c>
      <c r="J942" s="90"/>
      <c r="K942" s="163"/>
      <c r="L942" s="163"/>
      <c r="M942" s="158"/>
      <c r="O942" s="82">
        <f t="shared" si="172"/>
        <v>0</v>
      </c>
    </row>
    <row r="943" spans="1:15" s="5" customFormat="1" ht="16.149999999999999" customHeight="1" x14ac:dyDescent="0.2">
      <c r="A943" s="30"/>
      <c r="B943" s="98" t="s">
        <v>466</v>
      </c>
      <c r="C943" s="32"/>
      <c r="D943" s="32"/>
      <c r="E943" s="89"/>
      <c r="F943" s="89"/>
      <c r="G943" s="89"/>
      <c r="H943" s="89">
        <f t="shared" si="180"/>
        <v>0</v>
      </c>
      <c r="I943" s="89"/>
      <c r="J943" s="89"/>
      <c r="K943" s="157"/>
      <c r="L943" s="157"/>
      <c r="M943" s="158"/>
      <c r="O943" s="82">
        <f t="shared" si="172"/>
        <v>0</v>
      </c>
    </row>
    <row r="944" spans="1:15" ht="16.5" customHeight="1" x14ac:dyDescent="0.2">
      <c r="A944" s="40"/>
      <c r="B944" s="45"/>
      <c r="C944" s="41"/>
      <c r="D944" s="41">
        <v>12</v>
      </c>
      <c r="E944" s="90">
        <v>0.9</v>
      </c>
      <c r="F944" s="90"/>
      <c r="G944" s="90">
        <v>0.5</v>
      </c>
      <c r="H944" s="89">
        <f t="shared" si="180"/>
        <v>5.4</v>
      </c>
      <c r="I944" s="90"/>
      <c r="J944" s="90"/>
      <c r="K944" s="163"/>
      <c r="L944" s="163"/>
      <c r="M944" s="158"/>
      <c r="O944" s="82">
        <f t="shared" si="172"/>
        <v>0</v>
      </c>
    </row>
    <row r="945" spans="1:15" ht="16.5" customHeight="1" x14ac:dyDescent="0.2">
      <c r="A945" s="40"/>
      <c r="B945" s="45"/>
      <c r="C945" s="41"/>
      <c r="D945" s="41"/>
      <c r="E945" s="90"/>
      <c r="F945" s="90"/>
      <c r="G945" s="90"/>
      <c r="H945" s="89">
        <f t="shared" si="180"/>
        <v>0</v>
      </c>
      <c r="I945" s="90">
        <f>SUM(H944:H944)</f>
        <v>5.4</v>
      </c>
      <c r="J945" s="90"/>
      <c r="K945" s="163"/>
      <c r="L945" s="163"/>
      <c r="M945" s="158"/>
      <c r="O945" s="82">
        <f t="shared" si="172"/>
        <v>0</v>
      </c>
    </row>
    <row r="946" spans="1:15" s="5" customFormat="1" ht="16.149999999999999" customHeight="1" x14ac:dyDescent="0.2">
      <c r="A946" s="30"/>
      <c r="B946" s="98" t="s">
        <v>467</v>
      </c>
      <c r="C946" s="32"/>
      <c r="D946" s="32"/>
      <c r="E946" s="89"/>
      <c r="F946" s="89"/>
      <c r="G946" s="89"/>
      <c r="H946" s="89">
        <f t="shared" si="180"/>
        <v>0</v>
      </c>
      <c r="I946" s="90">
        <f t="shared" ref="I946:I947" si="181">SUM(H945:H945)</f>
        <v>0</v>
      </c>
      <c r="J946" s="89"/>
      <c r="K946" s="157"/>
      <c r="L946" s="157"/>
      <c r="M946" s="158"/>
      <c r="O946" s="82">
        <f t="shared" si="172"/>
        <v>0</v>
      </c>
    </row>
    <row r="947" spans="1:15" ht="15.95" customHeight="1" x14ac:dyDescent="0.2">
      <c r="A947" s="40"/>
      <c r="B947" s="45"/>
      <c r="C947" s="41"/>
      <c r="D947" s="41">
        <v>2</v>
      </c>
      <c r="E947" s="90">
        <v>0.9</v>
      </c>
      <c r="F947" s="90"/>
      <c r="G947" s="90">
        <v>1.2</v>
      </c>
      <c r="H947" s="89">
        <f t="shared" si="180"/>
        <v>2.16</v>
      </c>
      <c r="I947" s="90">
        <f t="shared" si="181"/>
        <v>0</v>
      </c>
      <c r="J947" s="90"/>
      <c r="K947" s="163"/>
      <c r="L947" s="163"/>
      <c r="M947" s="158"/>
      <c r="N947" s="43"/>
      <c r="O947" s="82">
        <f t="shared" si="172"/>
        <v>0</v>
      </c>
    </row>
    <row r="948" spans="1:15" ht="18" customHeight="1" x14ac:dyDescent="0.2">
      <c r="A948" s="56"/>
      <c r="B948" s="52"/>
      <c r="C948" s="41"/>
      <c r="D948" s="41"/>
      <c r="E948" s="90"/>
      <c r="F948" s="90"/>
      <c r="G948" s="90"/>
      <c r="H948" s="90"/>
      <c r="I948" s="90">
        <f>SUM(H947:H948)</f>
        <v>2.16</v>
      </c>
      <c r="J948" s="90"/>
      <c r="K948" s="163"/>
      <c r="L948" s="163"/>
      <c r="M948" s="158"/>
      <c r="O948" s="82">
        <f t="shared" si="172"/>
        <v>0</v>
      </c>
    </row>
    <row r="949" spans="1:15" ht="18" customHeight="1" x14ac:dyDescent="0.2">
      <c r="A949" s="56"/>
      <c r="B949" s="52"/>
      <c r="C949" s="41"/>
      <c r="D949" s="41"/>
      <c r="E949" s="90"/>
      <c r="F949" s="90"/>
      <c r="G949" s="90"/>
      <c r="H949" s="90"/>
      <c r="I949" s="90"/>
      <c r="J949" s="90"/>
      <c r="K949" s="163"/>
      <c r="L949" s="163"/>
      <c r="M949" s="158"/>
      <c r="O949" s="82">
        <f t="shared" si="172"/>
        <v>0</v>
      </c>
    </row>
    <row r="950" spans="1:15" ht="18" customHeight="1" x14ac:dyDescent="0.2">
      <c r="A950" s="30" t="s">
        <v>375</v>
      </c>
      <c r="B950" s="46" t="s">
        <v>274</v>
      </c>
      <c r="C950" s="41" t="s">
        <v>4</v>
      </c>
      <c r="D950" s="41"/>
      <c r="E950" s="90"/>
      <c r="F950" s="90"/>
      <c r="G950" s="90"/>
      <c r="H950" s="90"/>
      <c r="I950" s="90"/>
      <c r="J950" s="90">
        <f>SUM(I951:I953)</f>
        <v>0.84500000000000008</v>
      </c>
      <c r="K950" s="157">
        <v>1</v>
      </c>
      <c r="L950" s="157">
        <v>500</v>
      </c>
      <c r="M950" s="158">
        <f>+L950*K950</f>
        <v>500</v>
      </c>
      <c r="O950" s="82">
        <f t="shared" si="172"/>
        <v>0.15499999999999992</v>
      </c>
    </row>
    <row r="951" spans="1:15" s="5" customFormat="1" ht="16.149999999999999" customHeight="1" x14ac:dyDescent="0.2">
      <c r="A951" s="30"/>
      <c r="B951" s="98" t="s">
        <v>465</v>
      </c>
      <c r="C951" s="32"/>
      <c r="D951" s="32"/>
      <c r="E951" s="89"/>
      <c r="F951" s="89"/>
      <c r="G951" s="89"/>
      <c r="H951" s="89">
        <f t="shared" ref="H951:H952" si="182">PRODUCT(D951:G951)</f>
        <v>0</v>
      </c>
      <c r="I951" s="89"/>
      <c r="J951" s="89"/>
      <c r="K951" s="157"/>
      <c r="L951" s="157"/>
      <c r="M951" s="158"/>
      <c r="O951" s="82">
        <f t="shared" si="172"/>
        <v>0</v>
      </c>
    </row>
    <row r="952" spans="1:15" ht="18" customHeight="1" x14ac:dyDescent="0.2">
      <c r="A952" s="30"/>
      <c r="B952" s="46" t="s">
        <v>515</v>
      </c>
      <c r="C952" s="41"/>
      <c r="D952" s="41">
        <v>1</v>
      </c>
      <c r="E952" s="90">
        <v>1.3</v>
      </c>
      <c r="F952" s="90"/>
      <c r="G952" s="90">
        <v>0.65</v>
      </c>
      <c r="H952" s="89">
        <f t="shared" si="182"/>
        <v>0.84500000000000008</v>
      </c>
      <c r="I952" s="90">
        <f>H952</f>
        <v>0.84500000000000008</v>
      </c>
      <c r="J952" s="90"/>
      <c r="K952" s="157"/>
      <c r="L952" s="157"/>
      <c r="M952" s="158"/>
      <c r="O952" s="82">
        <f t="shared" si="172"/>
        <v>0</v>
      </c>
    </row>
    <row r="953" spans="1:15" ht="18" customHeight="1" x14ac:dyDescent="0.2">
      <c r="A953" s="30"/>
      <c r="B953" s="46"/>
      <c r="C953" s="41"/>
      <c r="D953" s="41"/>
      <c r="E953" s="90"/>
      <c r="F953" s="90"/>
      <c r="G953" s="90"/>
      <c r="H953" s="90"/>
      <c r="I953" s="90"/>
      <c r="J953" s="90"/>
      <c r="K953" s="157"/>
      <c r="L953" s="157"/>
      <c r="M953" s="158"/>
      <c r="O953" s="82">
        <f t="shared" si="172"/>
        <v>0</v>
      </c>
    </row>
    <row r="954" spans="1:15" ht="18" customHeight="1" x14ac:dyDescent="0.2">
      <c r="A954" s="253" t="s">
        <v>109</v>
      </c>
      <c r="B954" s="254"/>
      <c r="C954" s="254"/>
      <c r="D954" s="254"/>
      <c r="E954" s="254"/>
      <c r="F954" s="254"/>
      <c r="G954" s="254"/>
      <c r="H954" s="254"/>
      <c r="I954" s="254"/>
      <c r="J954" s="254"/>
      <c r="K954" s="254"/>
      <c r="L954" s="255"/>
      <c r="M954" s="159">
        <f>SUM(M935:M951)</f>
        <v>50500</v>
      </c>
      <c r="O954" s="82">
        <f t="shared" si="172"/>
        <v>0</v>
      </c>
    </row>
    <row r="955" spans="1:15" ht="18" customHeight="1" x14ac:dyDescent="0.2">
      <c r="A955" s="24"/>
      <c r="B955" s="25" t="s">
        <v>41</v>
      </c>
      <c r="C955" s="26"/>
      <c r="D955" s="26"/>
      <c r="E955" s="88"/>
      <c r="F955" s="88"/>
      <c r="G955" s="88"/>
      <c r="H955" s="88"/>
      <c r="I955" s="88"/>
      <c r="J955" s="88"/>
      <c r="K955" s="155"/>
      <c r="L955" s="155"/>
      <c r="M955" s="158"/>
      <c r="O955" s="82">
        <f t="shared" si="172"/>
        <v>0</v>
      </c>
    </row>
    <row r="956" spans="1:15" ht="18" customHeight="1" x14ac:dyDescent="0.2">
      <c r="A956" s="57" t="s">
        <v>210</v>
      </c>
      <c r="B956" s="46" t="s">
        <v>121</v>
      </c>
      <c r="C956" s="41" t="s">
        <v>4</v>
      </c>
      <c r="D956" s="41"/>
      <c r="E956" s="90"/>
      <c r="F956" s="90"/>
      <c r="G956" s="90"/>
      <c r="H956" s="90"/>
      <c r="I956" s="90"/>
      <c r="J956" s="90">
        <f>SUM(I957)</f>
        <v>28</v>
      </c>
      <c r="K956" s="163">
        <v>30</v>
      </c>
      <c r="L956" s="163">
        <v>500</v>
      </c>
      <c r="M956" s="158">
        <f>+L956*K956</f>
        <v>15000</v>
      </c>
      <c r="O956" s="82">
        <f t="shared" si="172"/>
        <v>2</v>
      </c>
    </row>
    <row r="957" spans="1:15" ht="18" customHeight="1" x14ac:dyDescent="0.2">
      <c r="A957" s="57"/>
      <c r="B957" s="46" t="s">
        <v>518</v>
      </c>
      <c r="C957" s="41"/>
      <c r="D957" s="41">
        <v>2</v>
      </c>
      <c r="E957" s="90">
        <v>7</v>
      </c>
      <c r="F957" s="90"/>
      <c r="G957" s="90">
        <v>2</v>
      </c>
      <c r="H957" s="89">
        <f t="shared" ref="H957:H988" si="183">PRODUCT(D957:G957)</f>
        <v>28</v>
      </c>
      <c r="I957" s="90">
        <f>H957</f>
        <v>28</v>
      </c>
      <c r="J957" s="90"/>
      <c r="K957" s="163"/>
      <c r="L957" s="163"/>
      <c r="M957" s="158"/>
      <c r="O957" s="82">
        <f t="shared" si="172"/>
        <v>0</v>
      </c>
    </row>
    <row r="958" spans="1:15" ht="18" customHeight="1" x14ac:dyDescent="0.2">
      <c r="A958" s="57"/>
      <c r="B958" s="46"/>
      <c r="C958" s="41"/>
      <c r="D958" s="41"/>
      <c r="E958" s="90"/>
      <c r="F958" s="90"/>
      <c r="G958" s="90"/>
      <c r="H958" s="89">
        <f t="shared" si="183"/>
        <v>0</v>
      </c>
      <c r="I958" s="90"/>
      <c r="J958" s="90"/>
      <c r="K958" s="163"/>
      <c r="L958" s="163"/>
      <c r="M958" s="158"/>
      <c r="O958" s="82">
        <f t="shared" si="172"/>
        <v>0</v>
      </c>
    </row>
    <row r="959" spans="1:15" ht="18" customHeight="1" x14ac:dyDescent="0.2">
      <c r="A959" s="57" t="s">
        <v>211</v>
      </c>
      <c r="B959" s="46" t="s">
        <v>516</v>
      </c>
      <c r="C959" s="41" t="s">
        <v>4</v>
      </c>
      <c r="D959" s="41"/>
      <c r="E959" s="90"/>
      <c r="F959" s="90"/>
      <c r="G959" s="90"/>
      <c r="H959" s="89">
        <f t="shared" ref="H959" si="184">PRODUCT(D959:G959)</f>
        <v>0</v>
      </c>
      <c r="I959" s="90"/>
      <c r="J959" s="90">
        <f>SUM(I959:I961)</f>
        <v>10.032</v>
      </c>
      <c r="K959" s="163">
        <v>11</v>
      </c>
      <c r="L959" s="163">
        <v>550</v>
      </c>
      <c r="M959" s="158">
        <f>+L959*K959</f>
        <v>6050</v>
      </c>
      <c r="O959" s="82">
        <f t="shared" si="172"/>
        <v>0.96799999999999997</v>
      </c>
    </row>
    <row r="960" spans="1:15" s="5" customFormat="1" ht="16.149999999999999" customHeight="1" x14ac:dyDescent="0.2">
      <c r="A960" s="30"/>
      <c r="B960" s="98" t="s">
        <v>464</v>
      </c>
      <c r="C960" s="32"/>
      <c r="D960" s="32"/>
      <c r="E960" s="89"/>
      <c r="F960" s="89"/>
      <c r="G960" s="89"/>
      <c r="H960" s="89"/>
      <c r="I960" s="89"/>
      <c r="K960" s="157"/>
      <c r="L960" s="157"/>
      <c r="M960" s="158"/>
      <c r="O960" s="82">
        <f t="shared" si="172"/>
        <v>0</v>
      </c>
    </row>
    <row r="961" spans="1:15" ht="16.5" customHeight="1" x14ac:dyDescent="0.2">
      <c r="A961" s="40"/>
      <c r="B961" s="45"/>
      <c r="C961" s="41"/>
      <c r="D961" s="41">
        <v>4</v>
      </c>
      <c r="E961" s="90">
        <v>1.1399999999999999</v>
      </c>
      <c r="F961" s="90"/>
      <c r="G961" s="90">
        <v>2.2000000000000002</v>
      </c>
      <c r="H961" s="89">
        <f t="shared" ref="H961" si="185">PRODUCT(D961:G961)</f>
        <v>10.032</v>
      </c>
      <c r="I961" s="90">
        <f>SUM(H961:H961)</f>
        <v>10.032</v>
      </c>
      <c r="J961" s="90"/>
      <c r="K961" s="163"/>
      <c r="L961" s="163"/>
      <c r="M961" s="158"/>
      <c r="O961" s="82">
        <f t="shared" si="172"/>
        <v>0</v>
      </c>
    </row>
    <row r="962" spans="1:15" ht="18" customHeight="1" x14ac:dyDescent="0.2">
      <c r="A962" s="57"/>
      <c r="B962" s="46"/>
      <c r="C962" s="41"/>
      <c r="D962" s="41"/>
      <c r="E962" s="90"/>
      <c r="F962" s="90"/>
      <c r="G962" s="90"/>
      <c r="H962" s="89"/>
      <c r="I962" s="90"/>
      <c r="J962" s="90"/>
      <c r="K962" s="163"/>
      <c r="L962" s="163"/>
      <c r="M962" s="158"/>
      <c r="O962" s="82">
        <f t="shared" si="172"/>
        <v>0</v>
      </c>
    </row>
    <row r="963" spans="1:15" ht="18" customHeight="1" x14ac:dyDescent="0.2">
      <c r="A963" s="57" t="s">
        <v>211</v>
      </c>
      <c r="B963" s="46" t="s">
        <v>517</v>
      </c>
      <c r="C963" s="41" t="s">
        <v>4</v>
      </c>
      <c r="D963" s="41"/>
      <c r="E963" s="90"/>
      <c r="F963" s="90"/>
      <c r="G963" s="90"/>
      <c r="H963" s="89">
        <f t="shared" si="183"/>
        <v>0</v>
      </c>
      <c r="I963" s="90"/>
      <c r="J963" s="90">
        <f>SUM(I965:I974)</f>
        <v>19.14</v>
      </c>
      <c r="K963" s="163">
        <v>20</v>
      </c>
      <c r="L963" s="163">
        <v>550</v>
      </c>
      <c r="M963" s="158">
        <f>+L963*K963</f>
        <v>11000</v>
      </c>
      <c r="O963" s="82">
        <f t="shared" si="172"/>
        <v>0.85999999999999943</v>
      </c>
    </row>
    <row r="964" spans="1:15" s="5" customFormat="1" ht="16.149999999999999" customHeight="1" x14ac:dyDescent="0.2">
      <c r="A964" s="30"/>
      <c r="B964" s="98" t="s">
        <v>465</v>
      </c>
      <c r="C964" s="32"/>
      <c r="D964" s="32"/>
      <c r="E964" s="89"/>
      <c r="F964" s="89"/>
      <c r="G964" s="89"/>
      <c r="H964" s="89">
        <f t="shared" si="183"/>
        <v>0</v>
      </c>
      <c r="I964" s="89"/>
      <c r="J964" s="89"/>
      <c r="K964" s="157"/>
      <c r="L964" s="157"/>
      <c r="M964" s="158"/>
      <c r="O964" s="82">
        <f t="shared" si="172"/>
        <v>0</v>
      </c>
    </row>
    <row r="965" spans="1:15" ht="16.5" customHeight="1" x14ac:dyDescent="0.2">
      <c r="A965" s="40"/>
      <c r="B965" s="45"/>
      <c r="C965" s="41"/>
      <c r="D965" s="41">
        <v>1</v>
      </c>
      <c r="E965" s="90">
        <v>2</v>
      </c>
      <c r="F965" s="90"/>
      <c r="G965" s="90">
        <v>2.2000000000000002</v>
      </c>
      <c r="H965" s="89">
        <f t="shared" si="183"/>
        <v>4.4000000000000004</v>
      </c>
      <c r="I965" s="80"/>
      <c r="J965" s="90"/>
      <c r="K965" s="163"/>
      <c r="L965" s="163"/>
      <c r="M965" s="158"/>
      <c r="O965" s="82">
        <f t="shared" si="172"/>
        <v>0</v>
      </c>
    </row>
    <row r="966" spans="1:15" ht="16.5" customHeight="1" x14ac:dyDescent="0.2">
      <c r="A966" s="40"/>
      <c r="B966" s="45"/>
      <c r="C966" s="41"/>
      <c r="D966" s="41">
        <v>1</v>
      </c>
      <c r="E966" s="90">
        <v>1</v>
      </c>
      <c r="F966" s="90"/>
      <c r="G966" s="90">
        <v>2.2000000000000002</v>
      </c>
      <c r="H966" s="89">
        <f t="shared" si="183"/>
        <v>2.2000000000000002</v>
      </c>
      <c r="I966" s="90"/>
      <c r="J966" s="90"/>
      <c r="K966" s="163"/>
      <c r="L966" s="163"/>
      <c r="M966" s="158"/>
      <c r="O966" s="82">
        <f t="shared" ref="O966:O1029" si="186">K966-J966</f>
        <v>0</v>
      </c>
    </row>
    <row r="967" spans="1:15" ht="16.5" customHeight="1" x14ac:dyDescent="0.2">
      <c r="A967" s="40"/>
      <c r="B967" s="45"/>
      <c r="C967" s="41"/>
      <c r="D967" s="41"/>
      <c r="E967" s="90"/>
      <c r="F967" s="90"/>
      <c r="G967" s="90"/>
      <c r="H967" s="89"/>
      <c r="I967" s="90">
        <f>SUM(H965:H966)</f>
        <v>6.6000000000000005</v>
      </c>
      <c r="J967" s="90"/>
      <c r="K967" s="163"/>
      <c r="L967" s="163"/>
      <c r="M967" s="158"/>
      <c r="O967" s="82">
        <f t="shared" si="186"/>
        <v>0</v>
      </c>
    </row>
    <row r="968" spans="1:15" s="5" customFormat="1" ht="16.149999999999999" customHeight="1" x14ac:dyDescent="0.2">
      <c r="A968" s="30"/>
      <c r="B968" s="98" t="s">
        <v>466</v>
      </c>
      <c r="C968" s="32"/>
      <c r="D968" s="32"/>
      <c r="E968" s="89"/>
      <c r="F968" s="89"/>
      <c r="G968" s="89"/>
      <c r="H968" s="89">
        <f t="shared" si="183"/>
        <v>0</v>
      </c>
      <c r="I968" s="89"/>
      <c r="J968" s="89"/>
      <c r="K968" s="157"/>
      <c r="L968" s="157"/>
      <c r="M968" s="158"/>
      <c r="O968" s="82">
        <f t="shared" si="186"/>
        <v>0</v>
      </c>
    </row>
    <row r="969" spans="1:15" ht="16.5" customHeight="1" x14ac:dyDescent="0.2">
      <c r="A969" s="40"/>
      <c r="B969" s="45"/>
      <c r="C969" s="41"/>
      <c r="D969" s="41">
        <v>4</v>
      </c>
      <c r="E969" s="90">
        <v>1.2</v>
      </c>
      <c r="F969" s="90"/>
      <c r="G969" s="90">
        <v>2.2000000000000002</v>
      </c>
      <c r="H969" s="89">
        <f t="shared" si="183"/>
        <v>10.56</v>
      </c>
      <c r="I969" s="90"/>
      <c r="J969" s="90"/>
      <c r="K969" s="163"/>
      <c r="L969" s="163"/>
      <c r="M969" s="158"/>
      <c r="O969" s="82">
        <f t="shared" si="186"/>
        <v>0</v>
      </c>
    </row>
    <row r="970" spans="1:15" ht="16.5" customHeight="1" x14ac:dyDescent="0.2">
      <c r="A970" s="40"/>
      <c r="B970" s="45"/>
      <c r="C970" s="41"/>
      <c r="D970" s="41"/>
      <c r="E970" s="90"/>
      <c r="F970" s="90"/>
      <c r="G970" s="90"/>
      <c r="H970" s="89">
        <f t="shared" si="183"/>
        <v>0</v>
      </c>
      <c r="I970" s="90">
        <f>SUM(H969:H969)</f>
        <v>10.56</v>
      </c>
      <c r="J970" s="90"/>
      <c r="K970" s="163"/>
      <c r="L970" s="163"/>
      <c r="M970" s="158"/>
      <c r="O970" s="82">
        <f t="shared" si="186"/>
        <v>0</v>
      </c>
    </row>
    <row r="971" spans="1:15" s="5" customFormat="1" ht="16.149999999999999" customHeight="1" x14ac:dyDescent="0.2">
      <c r="A971" s="30"/>
      <c r="B971" s="98" t="s">
        <v>467</v>
      </c>
      <c r="C971" s="32"/>
      <c r="D971" s="32"/>
      <c r="E971" s="89"/>
      <c r="F971" s="89"/>
      <c r="G971" s="89"/>
      <c r="H971" s="89">
        <f t="shared" si="183"/>
        <v>0</v>
      </c>
      <c r="I971" s="90">
        <f t="shared" ref="I971:I972" si="187">SUM(H970:H970)</f>
        <v>0</v>
      </c>
      <c r="J971" s="89"/>
      <c r="K971" s="157"/>
      <c r="L971" s="157"/>
      <c r="M971" s="158"/>
      <c r="O971" s="82">
        <f t="shared" si="186"/>
        <v>0</v>
      </c>
    </row>
    <row r="972" spans="1:15" ht="15.95" customHeight="1" x14ac:dyDescent="0.2">
      <c r="A972" s="40"/>
      <c r="B972" s="45"/>
      <c r="C972" s="41"/>
      <c r="D972" s="41">
        <v>1</v>
      </c>
      <c r="E972" s="90">
        <v>0.9</v>
      </c>
      <c r="F972" s="90"/>
      <c r="G972" s="90">
        <v>2.2000000000000002</v>
      </c>
      <c r="H972" s="89">
        <f t="shared" si="183"/>
        <v>1.9800000000000002</v>
      </c>
      <c r="I972" s="90">
        <f t="shared" si="187"/>
        <v>0</v>
      </c>
      <c r="J972" s="90"/>
      <c r="K972" s="163"/>
      <c r="L972" s="163"/>
      <c r="M972" s="158"/>
      <c r="N972" s="43"/>
      <c r="O972" s="82">
        <f t="shared" si="186"/>
        <v>0</v>
      </c>
    </row>
    <row r="973" spans="1:15" ht="15.95" customHeight="1" x14ac:dyDescent="0.2">
      <c r="A973" s="40"/>
      <c r="B973" s="45"/>
      <c r="C973" s="41"/>
      <c r="D973" s="41"/>
      <c r="E973" s="90"/>
      <c r="F973" s="90"/>
      <c r="G973" s="90"/>
      <c r="H973" s="89"/>
      <c r="I973" s="90">
        <f>SUM(H972)</f>
        <v>1.9800000000000002</v>
      </c>
      <c r="J973" s="90"/>
      <c r="K973" s="163"/>
      <c r="L973" s="163"/>
      <c r="M973" s="158"/>
      <c r="N973" s="116"/>
      <c r="O973" s="82">
        <f t="shared" si="186"/>
        <v>0</v>
      </c>
    </row>
    <row r="974" spans="1:15" ht="18" customHeight="1" x14ac:dyDescent="0.2">
      <c r="A974" s="57" t="s">
        <v>212</v>
      </c>
      <c r="B974" s="46" t="s">
        <v>93</v>
      </c>
      <c r="C974" s="41" t="s">
        <v>4</v>
      </c>
      <c r="D974" s="41"/>
      <c r="E974" s="90"/>
      <c r="F974" s="90"/>
      <c r="G974" s="90"/>
      <c r="H974" s="89">
        <f t="shared" si="183"/>
        <v>0</v>
      </c>
      <c r="I974" s="90"/>
      <c r="J974" s="90">
        <f>SUM(I976:I987)</f>
        <v>45.180000000000007</v>
      </c>
      <c r="K974" s="163">
        <v>50</v>
      </c>
      <c r="L974" s="163">
        <v>400</v>
      </c>
      <c r="M974" s="158">
        <f>+L974*K974</f>
        <v>20000</v>
      </c>
      <c r="O974" s="82">
        <f t="shared" si="186"/>
        <v>4.8199999999999932</v>
      </c>
    </row>
    <row r="975" spans="1:15" s="5" customFormat="1" ht="16.149999999999999" customHeight="1" x14ac:dyDescent="0.2">
      <c r="A975" s="30"/>
      <c r="B975" s="98" t="s">
        <v>464</v>
      </c>
      <c r="C975" s="32"/>
      <c r="D975" s="32"/>
      <c r="E975" s="89"/>
      <c r="F975" s="89"/>
      <c r="G975" s="89"/>
      <c r="H975" s="89"/>
      <c r="I975" s="89"/>
      <c r="K975" s="157"/>
      <c r="L975" s="157"/>
      <c r="M975" s="158"/>
      <c r="O975" s="82">
        <f t="shared" si="186"/>
        <v>0</v>
      </c>
    </row>
    <row r="976" spans="1:15" ht="16.5" customHeight="1" x14ac:dyDescent="0.2">
      <c r="A976" s="40"/>
      <c r="B976" s="45"/>
      <c r="C976" s="41"/>
      <c r="D976" s="41">
        <f>12*2</f>
        <v>24</v>
      </c>
      <c r="E976" s="90">
        <v>0.9</v>
      </c>
      <c r="F976" s="90"/>
      <c r="G976" s="90">
        <v>1.2</v>
      </c>
      <c r="H976" s="89">
        <f t="shared" ref="H976:H979" si="188">PRODUCT(D976:G976)</f>
        <v>25.92</v>
      </c>
      <c r="I976" s="90">
        <f>SUM(H976:H976)</f>
        <v>25.92</v>
      </c>
      <c r="J976" s="90"/>
      <c r="K976" s="163"/>
      <c r="L976" s="163"/>
      <c r="M976" s="158"/>
      <c r="O976" s="82">
        <f t="shared" si="186"/>
        <v>0</v>
      </c>
    </row>
    <row r="977" spans="1:15" s="5" customFormat="1" ht="16.149999999999999" customHeight="1" x14ac:dyDescent="0.2">
      <c r="A977" s="30"/>
      <c r="B977" s="98" t="s">
        <v>465</v>
      </c>
      <c r="C977" s="32"/>
      <c r="D977" s="32"/>
      <c r="E977" s="89"/>
      <c r="F977" s="89"/>
      <c r="G977" s="89"/>
      <c r="H977" s="89">
        <f t="shared" si="188"/>
        <v>0</v>
      </c>
      <c r="I977" s="89"/>
      <c r="J977" s="89"/>
      <c r="K977" s="157"/>
      <c r="L977" s="157"/>
      <c r="M977" s="158"/>
      <c r="O977" s="82">
        <f t="shared" si="186"/>
        <v>0</v>
      </c>
    </row>
    <row r="978" spans="1:15" ht="16.5" customHeight="1" x14ac:dyDescent="0.2">
      <c r="A978" s="40"/>
      <c r="B978" s="45"/>
      <c r="C978" s="41"/>
      <c r="D978" s="41">
        <v>10</v>
      </c>
      <c r="E978" s="90">
        <v>0.9</v>
      </c>
      <c r="F978" s="90"/>
      <c r="G978" s="90">
        <v>1.2</v>
      </c>
      <c r="H978" s="89">
        <f t="shared" si="188"/>
        <v>10.799999999999999</v>
      </c>
      <c r="I978" s="80"/>
      <c r="J978" s="90"/>
      <c r="K978" s="163"/>
      <c r="L978" s="163"/>
      <c r="M978" s="158"/>
      <c r="O978" s="82">
        <f t="shared" si="186"/>
        <v>0</v>
      </c>
    </row>
    <row r="979" spans="1:15" ht="16.5" customHeight="1" x14ac:dyDescent="0.2">
      <c r="A979" s="40"/>
      <c r="B979" s="45"/>
      <c r="C979" s="41"/>
      <c r="D979" s="41">
        <v>2</v>
      </c>
      <c r="E979" s="90">
        <v>0.9</v>
      </c>
      <c r="F979" s="90"/>
      <c r="G979" s="90">
        <v>0.5</v>
      </c>
      <c r="H979" s="89">
        <f t="shared" si="188"/>
        <v>0.9</v>
      </c>
      <c r="I979" s="90"/>
      <c r="J979" s="90"/>
      <c r="K979" s="163"/>
      <c r="L979" s="163"/>
      <c r="M979" s="158"/>
      <c r="O979" s="82">
        <f t="shared" si="186"/>
        <v>0</v>
      </c>
    </row>
    <row r="980" spans="1:15" ht="16.5" customHeight="1" x14ac:dyDescent="0.2">
      <c r="A980" s="40"/>
      <c r="B980" s="45"/>
      <c r="C980" s="41"/>
      <c r="D980" s="41"/>
      <c r="E980" s="90"/>
      <c r="F980" s="90"/>
      <c r="G980" s="90"/>
      <c r="H980" s="89"/>
      <c r="I980" s="90">
        <f>SUM(H978:H979)</f>
        <v>11.7</v>
      </c>
      <c r="J980" s="90"/>
      <c r="K980" s="163"/>
      <c r="L980" s="163"/>
      <c r="M980" s="158"/>
      <c r="O980" s="82">
        <f t="shared" si="186"/>
        <v>0</v>
      </c>
    </row>
    <row r="981" spans="1:15" s="5" customFormat="1" ht="16.149999999999999" customHeight="1" x14ac:dyDescent="0.2">
      <c r="A981" s="30"/>
      <c r="B981" s="98" t="s">
        <v>466</v>
      </c>
      <c r="C981" s="32"/>
      <c r="D981" s="32"/>
      <c r="E981" s="89"/>
      <c r="F981" s="89"/>
      <c r="G981" s="89"/>
      <c r="H981" s="89">
        <f t="shared" ref="H981:H985" si="189">PRODUCT(D981:G981)</f>
        <v>0</v>
      </c>
      <c r="I981" s="89"/>
      <c r="J981" s="89"/>
      <c r="K981" s="157"/>
      <c r="L981" s="157"/>
      <c r="M981" s="158"/>
      <c r="O981" s="82">
        <f t="shared" si="186"/>
        <v>0</v>
      </c>
    </row>
    <row r="982" spans="1:15" ht="16.5" customHeight="1" x14ac:dyDescent="0.2">
      <c r="A982" s="40"/>
      <c r="B982" s="45"/>
      <c r="C982" s="41"/>
      <c r="D982" s="41">
        <v>12</v>
      </c>
      <c r="E982" s="90">
        <v>0.9</v>
      </c>
      <c r="F982" s="90"/>
      <c r="G982" s="90">
        <v>0.5</v>
      </c>
      <c r="H982" s="89">
        <f t="shared" si="189"/>
        <v>5.4</v>
      </c>
      <c r="I982" s="90"/>
      <c r="J982" s="90"/>
      <c r="K982" s="163"/>
      <c r="L982" s="163"/>
      <c r="M982" s="158"/>
      <c r="O982" s="82">
        <f t="shared" si="186"/>
        <v>0</v>
      </c>
    </row>
    <row r="983" spans="1:15" ht="16.5" customHeight="1" x14ac:dyDescent="0.2">
      <c r="A983" s="40"/>
      <c r="B983" s="45"/>
      <c r="C983" s="41"/>
      <c r="D983" s="41"/>
      <c r="E983" s="90"/>
      <c r="F983" s="90"/>
      <c r="G983" s="90"/>
      <c r="H983" s="89">
        <f t="shared" si="189"/>
        <v>0</v>
      </c>
      <c r="I983" s="90">
        <f>SUM(H982:H982)</f>
        <v>5.4</v>
      </c>
      <c r="J983" s="90"/>
      <c r="K983" s="163"/>
      <c r="L983" s="163"/>
      <c r="M983" s="158"/>
      <c r="O983" s="82">
        <f t="shared" si="186"/>
        <v>0</v>
      </c>
    </row>
    <row r="984" spans="1:15" s="5" customFormat="1" ht="16.149999999999999" customHeight="1" x14ac:dyDescent="0.2">
      <c r="A984" s="30"/>
      <c r="B984" s="98" t="s">
        <v>467</v>
      </c>
      <c r="C984" s="32"/>
      <c r="D984" s="32"/>
      <c r="E984" s="89"/>
      <c r="F984" s="89"/>
      <c r="G984" s="89"/>
      <c r="H984" s="89">
        <f t="shared" si="189"/>
        <v>0</v>
      </c>
      <c r="I984" s="90">
        <f t="shared" ref="I984:I985" si="190">SUM(H983:H983)</f>
        <v>0</v>
      </c>
      <c r="J984" s="89"/>
      <c r="K984" s="157"/>
      <c r="L984" s="157"/>
      <c r="M984" s="158"/>
      <c r="O984" s="82">
        <f t="shared" si="186"/>
        <v>0</v>
      </c>
    </row>
    <row r="985" spans="1:15" ht="15.95" customHeight="1" x14ac:dyDescent="0.2">
      <c r="A985" s="40"/>
      <c r="B985" s="45"/>
      <c r="C985" s="41"/>
      <c r="D985" s="41">
        <v>2</v>
      </c>
      <c r="E985" s="90">
        <v>0.9</v>
      </c>
      <c r="F985" s="90"/>
      <c r="G985" s="90">
        <v>1.2</v>
      </c>
      <c r="H985" s="89">
        <f t="shared" si="189"/>
        <v>2.16</v>
      </c>
      <c r="I985" s="90">
        <f t="shared" si="190"/>
        <v>0</v>
      </c>
      <c r="J985" s="90"/>
      <c r="K985" s="163"/>
      <c r="L985" s="163"/>
      <c r="M985" s="158"/>
      <c r="N985" s="43"/>
      <c r="O985" s="82">
        <f t="shared" si="186"/>
        <v>0</v>
      </c>
    </row>
    <row r="986" spans="1:15" ht="18" customHeight="1" x14ac:dyDescent="0.2">
      <c r="A986" s="56"/>
      <c r="B986" s="52"/>
      <c r="C986" s="41"/>
      <c r="D986" s="41"/>
      <c r="E986" s="90"/>
      <c r="F986" s="90"/>
      <c r="G986" s="90"/>
      <c r="H986" s="90"/>
      <c r="I986" s="90">
        <f>SUM(H985:H986)</f>
        <v>2.16</v>
      </c>
      <c r="J986" s="90"/>
      <c r="K986" s="163"/>
      <c r="L986" s="163"/>
      <c r="M986" s="158"/>
      <c r="O986" s="82">
        <f t="shared" si="186"/>
        <v>0</v>
      </c>
    </row>
    <row r="987" spans="1:15" ht="18" customHeight="1" x14ac:dyDescent="0.2">
      <c r="A987" s="56"/>
      <c r="B987" s="52"/>
      <c r="C987" s="41"/>
      <c r="D987" s="41"/>
      <c r="E987" s="90"/>
      <c r="F987" s="90"/>
      <c r="G987" s="90"/>
      <c r="H987" s="90"/>
      <c r="I987" s="90"/>
      <c r="J987" s="90"/>
      <c r="K987" s="163"/>
      <c r="L987" s="163"/>
      <c r="M987" s="158"/>
      <c r="O987" s="82">
        <f t="shared" si="186"/>
        <v>0</v>
      </c>
    </row>
    <row r="988" spans="1:15" ht="18" customHeight="1" x14ac:dyDescent="0.2">
      <c r="A988" s="57" t="s">
        <v>344</v>
      </c>
      <c r="B988" s="46" t="s">
        <v>355</v>
      </c>
      <c r="C988" s="41" t="s">
        <v>1</v>
      </c>
      <c r="D988" s="41">
        <v>2</v>
      </c>
      <c r="E988" s="90">
        <v>2.5</v>
      </c>
      <c r="F988" s="90"/>
      <c r="G988" s="90"/>
      <c r="H988" s="89">
        <f t="shared" si="183"/>
        <v>5</v>
      </c>
      <c r="I988" s="90">
        <f>H988</f>
        <v>5</v>
      </c>
      <c r="J988" s="90">
        <v>10</v>
      </c>
      <c r="K988" s="163">
        <v>10</v>
      </c>
      <c r="L988" s="163">
        <v>250</v>
      </c>
      <c r="M988" s="158">
        <f>+L988*K988</f>
        <v>2500</v>
      </c>
      <c r="O988" s="82">
        <f t="shared" si="186"/>
        <v>0</v>
      </c>
    </row>
    <row r="989" spans="1:15" ht="18" customHeight="1" x14ac:dyDescent="0.2">
      <c r="A989" s="56"/>
      <c r="B989" s="52"/>
      <c r="C989" s="41"/>
      <c r="D989" s="41"/>
      <c r="E989" s="90"/>
      <c r="F989" s="90"/>
      <c r="G989" s="90"/>
      <c r="H989" s="90"/>
      <c r="I989" s="90"/>
      <c r="J989" s="90"/>
      <c r="K989" s="163"/>
      <c r="L989" s="163"/>
      <c r="M989" s="158"/>
      <c r="O989" s="82">
        <f t="shared" si="186"/>
        <v>0</v>
      </c>
    </row>
    <row r="990" spans="1:15" ht="18" customHeight="1" x14ac:dyDescent="0.2">
      <c r="A990" s="250" t="s">
        <v>110</v>
      </c>
      <c r="B990" s="251"/>
      <c r="C990" s="251"/>
      <c r="D990" s="251"/>
      <c r="E990" s="251"/>
      <c r="F990" s="251"/>
      <c r="G990" s="251"/>
      <c r="H990" s="251"/>
      <c r="I990" s="251"/>
      <c r="J990" s="251"/>
      <c r="K990" s="251"/>
      <c r="L990" s="252"/>
      <c r="M990" s="159">
        <f>SUM(M955:M988)</f>
        <v>54550</v>
      </c>
      <c r="O990" s="82">
        <f t="shared" si="186"/>
        <v>0</v>
      </c>
    </row>
    <row r="991" spans="1:15" ht="18" customHeight="1" x14ac:dyDescent="0.2">
      <c r="A991" s="24"/>
      <c r="B991" s="25" t="s">
        <v>42</v>
      </c>
      <c r="C991" s="26"/>
      <c r="D991" s="26"/>
      <c r="E991" s="88"/>
      <c r="F991" s="88"/>
      <c r="G991" s="88"/>
      <c r="H991" s="88"/>
      <c r="I991" s="88"/>
      <c r="J991" s="88"/>
      <c r="K991" s="155"/>
      <c r="L991" s="155"/>
      <c r="M991" s="158"/>
      <c r="O991" s="82">
        <f t="shared" si="186"/>
        <v>0</v>
      </c>
    </row>
    <row r="992" spans="1:15" ht="18" customHeight="1" x14ac:dyDescent="0.2">
      <c r="A992" s="56" t="s">
        <v>213</v>
      </c>
      <c r="B992" s="46" t="s">
        <v>275</v>
      </c>
      <c r="C992" s="41" t="s">
        <v>1</v>
      </c>
      <c r="D992" s="41"/>
      <c r="E992" s="90"/>
      <c r="F992" s="90"/>
      <c r="G992" s="90"/>
      <c r="H992" s="90"/>
      <c r="I992" s="90"/>
      <c r="J992" s="90">
        <f>SUM(I994:I996)</f>
        <v>61.199999999999996</v>
      </c>
      <c r="K992" s="163">
        <v>62</v>
      </c>
      <c r="L992" s="163">
        <v>200</v>
      </c>
      <c r="M992" s="158">
        <f>+L992*K992</f>
        <v>12400</v>
      </c>
      <c r="O992" s="82">
        <f t="shared" si="186"/>
        <v>0.80000000000000426</v>
      </c>
    </row>
    <row r="993" spans="1:15" s="5" customFormat="1" ht="16.149999999999999" customHeight="1" x14ac:dyDescent="0.2">
      <c r="A993" s="30"/>
      <c r="B993" s="98" t="s">
        <v>464</v>
      </c>
      <c r="C993" s="32"/>
      <c r="D993" s="32"/>
      <c r="E993" s="89"/>
      <c r="F993" s="89"/>
      <c r="G993" s="89"/>
      <c r="H993" s="89"/>
      <c r="I993" s="89"/>
      <c r="K993" s="157"/>
      <c r="L993" s="157"/>
      <c r="M993" s="158"/>
      <c r="O993" s="82">
        <f t="shared" si="186"/>
        <v>0</v>
      </c>
    </row>
    <row r="994" spans="1:15" ht="16.5" customHeight="1" x14ac:dyDescent="0.2">
      <c r="A994" s="40"/>
      <c r="B994" s="45"/>
      <c r="C994" s="41"/>
      <c r="D994" s="41">
        <f>12*2</f>
        <v>24</v>
      </c>
      <c r="E994" s="90">
        <f>0.9+0.3</f>
        <v>1.2</v>
      </c>
      <c r="F994" s="90"/>
      <c r="G994" s="90">
        <v>1.5</v>
      </c>
      <c r="H994" s="89">
        <f t="shared" ref="H994:H996" si="191">PRODUCT(D994:G994)</f>
        <v>43.199999999999996</v>
      </c>
      <c r="I994" s="90">
        <f>SUM(H994:H994)</f>
        <v>43.199999999999996</v>
      </c>
      <c r="J994" s="90"/>
      <c r="K994" s="163"/>
      <c r="L994" s="163"/>
      <c r="M994" s="158"/>
      <c r="O994" s="82">
        <f t="shared" si="186"/>
        <v>0</v>
      </c>
    </row>
    <row r="995" spans="1:15" s="5" customFormat="1" ht="16.149999999999999" customHeight="1" x14ac:dyDescent="0.2">
      <c r="A995" s="30"/>
      <c r="B995" s="98" t="s">
        <v>465</v>
      </c>
      <c r="C995" s="32"/>
      <c r="D995" s="32"/>
      <c r="E995" s="89"/>
      <c r="F995" s="89"/>
      <c r="G995" s="89"/>
      <c r="H995" s="89">
        <f t="shared" si="191"/>
        <v>0</v>
      </c>
      <c r="I995" s="89"/>
      <c r="J995" s="89"/>
      <c r="K995" s="157"/>
      <c r="L995" s="157"/>
      <c r="M995" s="158"/>
      <c r="O995" s="82">
        <f t="shared" si="186"/>
        <v>0</v>
      </c>
    </row>
    <row r="996" spans="1:15" ht="16.5" customHeight="1" x14ac:dyDescent="0.2">
      <c r="A996" s="40"/>
      <c r="B996" s="45"/>
      <c r="C996" s="41"/>
      <c r="D996" s="41">
        <v>10</v>
      </c>
      <c r="E996" s="90">
        <f>0.9+0.3</f>
        <v>1.2</v>
      </c>
      <c r="F996" s="90"/>
      <c r="G996" s="90">
        <v>1.5</v>
      </c>
      <c r="H996" s="89">
        <f t="shared" si="191"/>
        <v>18</v>
      </c>
      <c r="I996" s="90">
        <f>SUM(H996)</f>
        <v>18</v>
      </c>
      <c r="J996" s="90"/>
      <c r="K996" s="163"/>
      <c r="L996" s="163"/>
      <c r="M996" s="158"/>
      <c r="O996" s="82">
        <f t="shared" si="186"/>
        <v>0</v>
      </c>
    </row>
    <row r="997" spans="1:15" ht="16.5" customHeight="1" x14ac:dyDescent="0.2">
      <c r="A997" s="40"/>
      <c r="B997" s="45"/>
      <c r="C997" s="41"/>
      <c r="D997" s="41"/>
      <c r="E997" s="90"/>
      <c r="F997" s="90"/>
      <c r="G997" s="90"/>
      <c r="H997" s="90"/>
      <c r="I997" s="80"/>
      <c r="J997" s="90"/>
      <c r="K997" s="163"/>
      <c r="L997" s="163"/>
      <c r="M997" s="158"/>
      <c r="O997" s="82">
        <f t="shared" si="186"/>
        <v>0</v>
      </c>
    </row>
    <row r="998" spans="1:15" ht="18" customHeight="1" x14ac:dyDescent="0.2">
      <c r="A998" s="56" t="s">
        <v>214</v>
      </c>
      <c r="B998" s="46" t="s">
        <v>330</v>
      </c>
      <c r="C998" s="41" t="s">
        <v>1</v>
      </c>
      <c r="D998" s="41"/>
      <c r="E998" s="90"/>
      <c r="F998" s="90"/>
      <c r="G998" s="90"/>
      <c r="H998" s="90"/>
      <c r="I998" s="90"/>
      <c r="J998" s="90">
        <f>SUM(I1000:I1002)</f>
        <v>7.1999999999999993</v>
      </c>
      <c r="K998" s="163">
        <v>10</v>
      </c>
      <c r="L998" s="163">
        <v>700</v>
      </c>
      <c r="M998" s="158">
        <f>+L998*K998</f>
        <v>7000</v>
      </c>
      <c r="O998" s="82">
        <f t="shared" si="186"/>
        <v>2.8000000000000007</v>
      </c>
    </row>
    <row r="999" spans="1:15" s="5" customFormat="1" ht="16.149999999999999" customHeight="1" x14ac:dyDescent="0.2">
      <c r="A999" s="30"/>
      <c r="B999" s="98" t="s">
        <v>465</v>
      </c>
      <c r="C999" s="32"/>
      <c r="D999" s="32"/>
      <c r="E999" s="89"/>
      <c r="F999" s="89"/>
      <c r="G999" s="89"/>
      <c r="H999" s="89">
        <f t="shared" ref="H999:H1001" si="192">PRODUCT(D999:G999)</f>
        <v>0</v>
      </c>
      <c r="I999" s="89"/>
      <c r="J999" s="89"/>
      <c r="K999" s="157"/>
      <c r="L999" s="157"/>
      <c r="M999" s="158"/>
      <c r="O999" s="82">
        <f t="shared" si="186"/>
        <v>0</v>
      </c>
    </row>
    <row r="1000" spans="1:15" ht="16.5" customHeight="1" x14ac:dyDescent="0.2">
      <c r="A1000" s="40"/>
      <c r="B1000" s="45"/>
      <c r="C1000" s="41"/>
      <c r="D1000" s="41">
        <v>1</v>
      </c>
      <c r="E1000" s="90">
        <v>4.8</v>
      </c>
      <c r="F1000" s="90"/>
      <c r="G1000" s="90"/>
      <c r="H1000" s="89">
        <f t="shared" si="192"/>
        <v>4.8</v>
      </c>
      <c r="I1000" s="90"/>
      <c r="J1000" s="90"/>
      <c r="K1000" s="163"/>
      <c r="L1000" s="163"/>
      <c r="M1000" s="158"/>
      <c r="O1000" s="82">
        <f t="shared" si="186"/>
        <v>0</v>
      </c>
    </row>
    <row r="1001" spans="1:15" ht="16.5" customHeight="1" x14ac:dyDescent="0.2">
      <c r="A1001" s="40"/>
      <c r="B1001" s="45"/>
      <c r="C1001" s="41"/>
      <c r="D1001" s="41">
        <v>2</v>
      </c>
      <c r="E1001" s="90">
        <v>1.2</v>
      </c>
      <c r="F1001" s="90"/>
      <c r="G1001" s="90"/>
      <c r="H1001" s="89">
        <f t="shared" si="192"/>
        <v>2.4</v>
      </c>
      <c r="I1001" s="90"/>
      <c r="J1001" s="90"/>
      <c r="K1001" s="163"/>
      <c r="L1001" s="163"/>
      <c r="M1001" s="158"/>
      <c r="O1001" s="82">
        <f t="shared" si="186"/>
        <v>0</v>
      </c>
    </row>
    <row r="1002" spans="1:15" ht="16.5" customHeight="1" x14ac:dyDescent="0.2">
      <c r="A1002" s="40"/>
      <c r="B1002" s="45"/>
      <c r="C1002" s="41"/>
      <c r="D1002" s="41"/>
      <c r="E1002" s="90"/>
      <c r="F1002" s="90"/>
      <c r="G1002" s="90"/>
      <c r="H1002" s="90"/>
      <c r="I1002" s="90">
        <f>SUM(H1000:H1002)</f>
        <v>7.1999999999999993</v>
      </c>
      <c r="J1002" s="90"/>
      <c r="K1002" s="163"/>
      <c r="L1002" s="163"/>
      <c r="M1002" s="158"/>
      <c r="O1002" s="82">
        <f t="shared" si="186"/>
        <v>0</v>
      </c>
    </row>
    <row r="1003" spans="1:15" ht="16.5" customHeight="1" x14ac:dyDescent="0.2">
      <c r="A1003" s="40"/>
      <c r="B1003" s="45"/>
      <c r="C1003" s="41"/>
      <c r="D1003" s="41"/>
      <c r="E1003" s="90"/>
      <c r="F1003" s="90"/>
      <c r="G1003" s="90"/>
      <c r="H1003" s="90"/>
      <c r="I1003" s="90"/>
      <c r="J1003" s="90"/>
      <c r="K1003" s="163"/>
      <c r="L1003" s="163"/>
      <c r="M1003" s="158"/>
      <c r="O1003" s="82">
        <f t="shared" si="186"/>
        <v>0</v>
      </c>
    </row>
    <row r="1004" spans="1:15" ht="18" customHeight="1" x14ac:dyDescent="0.2">
      <c r="A1004" s="56" t="s">
        <v>214</v>
      </c>
      <c r="B1004" s="46" t="s">
        <v>529</v>
      </c>
      <c r="C1004" s="41" t="s">
        <v>500</v>
      </c>
      <c r="D1004" s="41">
        <v>1</v>
      </c>
      <c r="E1004" s="90"/>
      <c r="F1004" s="90"/>
      <c r="G1004" s="90"/>
      <c r="H1004" s="89">
        <f t="shared" ref="H1004" si="193">PRODUCT(D1004:G1004)</f>
        <v>1</v>
      </c>
      <c r="I1004" s="89">
        <f>H1004</f>
        <v>1</v>
      </c>
      <c r="J1004" s="90">
        <f>I1004</f>
        <v>1</v>
      </c>
      <c r="K1004" s="163">
        <v>1</v>
      </c>
      <c r="L1004" s="163">
        <v>10000</v>
      </c>
      <c r="M1004" s="158">
        <f>+L1004*K1004</f>
        <v>10000</v>
      </c>
      <c r="O1004" s="82">
        <f t="shared" si="186"/>
        <v>0</v>
      </c>
    </row>
    <row r="1005" spans="1:15" ht="16.5" customHeight="1" x14ac:dyDescent="0.2">
      <c r="A1005" s="40"/>
      <c r="B1005" s="45"/>
      <c r="C1005" s="41"/>
      <c r="D1005" s="41"/>
      <c r="E1005" s="90"/>
      <c r="F1005" s="90"/>
      <c r="G1005" s="90"/>
      <c r="H1005" s="90"/>
      <c r="I1005" s="90">
        <f>SUM(H1005:H1005)</f>
        <v>0</v>
      </c>
      <c r="J1005" s="90"/>
      <c r="K1005" s="163"/>
      <c r="L1005" s="163"/>
      <c r="M1005" s="158"/>
      <c r="O1005" s="82">
        <f t="shared" si="186"/>
        <v>0</v>
      </c>
    </row>
    <row r="1006" spans="1:15" ht="18" customHeight="1" x14ac:dyDescent="0.2">
      <c r="A1006" s="56" t="s">
        <v>215</v>
      </c>
      <c r="B1006" s="46" t="s">
        <v>11</v>
      </c>
      <c r="C1006" s="41" t="s">
        <v>76</v>
      </c>
      <c r="D1006" s="41">
        <v>2</v>
      </c>
      <c r="E1006" s="90"/>
      <c r="F1006" s="90"/>
      <c r="G1006" s="90"/>
      <c r="H1006" s="89">
        <f t="shared" ref="H1006" si="194">PRODUCT(D1006:G1006)</f>
        <v>2</v>
      </c>
      <c r="I1006" s="89">
        <f t="shared" ref="I1006:J1008" si="195">H1006</f>
        <v>2</v>
      </c>
      <c r="J1006" s="90">
        <f t="shared" si="195"/>
        <v>2</v>
      </c>
      <c r="K1006" s="163">
        <v>2</v>
      </c>
      <c r="L1006" s="163">
        <v>1200</v>
      </c>
      <c r="M1006" s="158">
        <f>+L1006*K1006</f>
        <v>2400</v>
      </c>
      <c r="O1006" s="82">
        <f t="shared" si="186"/>
        <v>0</v>
      </c>
    </row>
    <row r="1007" spans="1:15" ht="18" customHeight="1" x14ac:dyDescent="0.2">
      <c r="A1007" s="56" t="s">
        <v>216</v>
      </c>
      <c r="B1007" s="46" t="s">
        <v>445</v>
      </c>
      <c r="C1007" s="41" t="s">
        <v>76</v>
      </c>
      <c r="D1007" s="41">
        <v>2</v>
      </c>
      <c r="E1007" s="90"/>
      <c r="F1007" s="90"/>
      <c r="G1007" s="90"/>
      <c r="H1007" s="89">
        <f t="shared" ref="H1007:H1008" si="196">PRODUCT(D1007:G1007)</f>
        <v>2</v>
      </c>
      <c r="I1007" s="89">
        <f t="shared" si="195"/>
        <v>2</v>
      </c>
      <c r="J1007" s="90">
        <f t="shared" si="195"/>
        <v>2</v>
      </c>
      <c r="K1007" s="163">
        <v>2</v>
      </c>
      <c r="L1007" s="163">
        <v>3000</v>
      </c>
      <c r="M1007" s="158">
        <f>+L1007*K1007</f>
        <v>6000</v>
      </c>
      <c r="O1007" s="82">
        <f t="shared" si="186"/>
        <v>0</v>
      </c>
    </row>
    <row r="1008" spans="1:15" ht="18" customHeight="1" x14ac:dyDescent="0.2">
      <c r="A1008" s="56" t="s">
        <v>217</v>
      </c>
      <c r="B1008" s="46" t="s">
        <v>520</v>
      </c>
      <c r="C1008" s="41" t="s">
        <v>500</v>
      </c>
      <c r="D1008" s="41">
        <v>2</v>
      </c>
      <c r="E1008" s="90"/>
      <c r="F1008" s="90"/>
      <c r="G1008" s="90"/>
      <c r="H1008" s="89">
        <f t="shared" si="196"/>
        <v>2</v>
      </c>
      <c r="I1008" s="89">
        <f t="shared" si="195"/>
        <v>2</v>
      </c>
      <c r="J1008" s="90">
        <f t="shared" si="195"/>
        <v>2</v>
      </c>
      <c r="K1008" s="163">
        <v>2</v>
      </c>
      <c r="L1008" s="163">
        <v>1500</v>
      </c>
      <c r="M1008" s="158">
        <f>+L1008*K1008</f>
        <v>3000</v>
      </c>
      <c r="O1008" s="82">
        <f t="shared" si="186"/>
        <v>0</v>
      </c>
    </row>
    <row r="1009" spans="1:263" ht="18" customHeight="1" x14ac:dyDescent="0.2">
      <c r="A1009" s="250" t="s">
        <v>104</v>
      </c>
      <c r="B1009" s="251"/>
      <c r="C1009" s="251"/>
      <c r="D1009" s="251"/>
      <c r="E1009" s="251"/>
      <c r="F1009" s="251"/>
      <c r="G1009" s="251"/>
      <c r="H1009" s="251"/>
      <c r="I1009" s="251"/>
      <c r="J1009" s="251"/>
      <c r="K1009" s="251"/>
      <c r="L1009" s="252"/>
      <c r="M1009" s="159">
        <f>SUM(M991:M1008)</f>
        <v>40800</v>
      </c>
      <c r="N1009" s="10"/>
      <c r="O1009" s="82">
        <f t="shared" si="186"/>
        <v>0</v>
      </c>
    </row>
    <row r="1010" spans="1:263" ht="18" customHeight="1" x14ac:dyDescent="0.2">
      <c r="A1010" s="250" t="s">
        <v>111</v>
      </c>
      <c r="B1010" s="251"/>
      <c r="C1010" s="251"/>
      <c r="D1010" s="251"/>
      <c r="E1010" s="251"/>
      <c r="F1010" s="251"/>
      <c r="G1010" s="251"/>
      <c r="H1010" s="251"/>
      <c r="I1010" s="251"/>
      <c r="J1010" s="251"/>
      <c r="K1010" s="251"/>
      <c r="L1010" s="252"/>
      <c r="M1010" s="159">
        <f>M1009+M990+M954+M934</f>
        <v>195350</v>
      </c>
      <c r="O1010" s="82">
        <f t="shared" si="186"/>
        <v>0</v>
      </c>
    </row>
    <row r="1011" spans="1:263" ht="18" customHeight="1" x14ac:dyDescent="0.2">
      <c r="A1011" s="24"/>
      <c r="B1011" s="25" t="s">
        <v>218</v>
      </c>
      <c r="C1011" s="26"/>
      <c r="D1011" s="26"/>
      <c r="E1011" s="88"/>
      <c r="F1011" s="88"/>
      <c r="G1011" s="88"/>
      <c r="H1011" s="88"/>
      <c r="I1011" s="88"/>
      <c r="J1011" s="88"/>
      <c r="K1011" s="155"/>
      <c r="L1011" s="155"/>
      <c r="M1011" s="158"/>
      <c r="O1011" s="82">
        <f t="shared" si="186"/>
        <v>0</v>
      </c>
    </row>
    <row r="1012" spans="1:263" ht="18" customHeight="1" x14ac:dyDescent="0.2">
      <c r="A1012" s="30"/>
      <c r="B1012" s="31" t="s">
        <v>219</v>
      </c>
      <c r="C1012" s="32"/>
      <c r="D1012" s="32"/>
      <c r="E1012" s="89"/>
      <c r="F1012" s="89"/>
      <c r="G1012" s="89"/>
      <c r="H1012" s="89"/>
      <c r="I1012" s="89"/>
      <c r="J1012" s="89"/>
      <c r="K1012" s="157"/>
      <c r="L1012" s="157"/>
      <c r="M1012" s="158"/>
      <c r="O1012" s="82">
        <f t="shared" si="186"/>
        <v>0</v>
      </c>
    </row>
    <row r="1013" spans="1:263" s="114" customFormat="1" ht="18" customHeight="1" x14ac:dyDescent="0.2">
      <c r="A1013" s="121" t="s">
        <v>220</v>
      </c>
      <c r="B1013" s="122" t="s">
        <v>299</v>
      </c>
      <c r="C1013" s="101" t="s">
        <v>76</v>
      </c>
      <c r="D1013" s="123">
        <v>1</v>
      </c>
      <c r="E1013" s="124"/>
      <c r="F1013" s="124"/>
      <c r="G1013" s="124"/>
      <c r="H1013" s="102">
        <f t="shared" ref="H1013:H1017" si="197">PRODUCT(D1013:G1013)</f>
        <v>1</v>
      </c>
      <c r="I1013" s="102">
        <f t="shared" ref="I1013:J1017" si="198">H1013</f>
        <v>1</v>
      </c>
      <c r="J1013" s="124">
        <f t="shared" si="198"/>
        <v>1</v>
      </c>
      <c r="K1013" s="157">
        <v>1</v>
      </c>
      <c r="L1013" s="157">
        <v>30000</v>
      </c>
      <c r="M1013" s="158">
        <f t="shared" ref="M1013:M1132" si="199">+L1013*K1013</f>
        <v>30000</v>
      </c>
      <c r="N1013" s="113"/>
      <c r="O1013" s="82">
        <f t="shared" si="186"/>
        <v>0</v>
      </c>
      <c r="P1013" s="104"/>
      <c r="Q1013" s="104"/>
      <c r="R1013" s="104"/>
      <c r="S1013" s="104"/>
      <c r="T1013" s="104"/>
      <c r="U1013" s="104"/>
      <c r="V1013" s="104"/>
      <c r="W1013" s="104"/>
      <c r="X1013" s="104"/>
      <c r="Y1013" s="104"/>
      <c r="Z1013" s="104"/>
      <c r="AA1013" s="104"/>
      <c r="AB1013" s="104"/>
      <c r="AC1013" s="104"/>
      <c r="AD1013" s="104"/>
      <c r="AE1013" s="104"/>
      <c r="AF1013" s="104"/>
      <c r="AG1013" s="104"/>
      <c r="AH1013" s="104"/>
      <c r="AI1013" s="104"/>
      <c r="AJ1013" s="104"/>
      <c r="AK1013" s="104"/>
      <c r="AL1013" s="104"/>
      <c r="AM1013" s="104"/>
      <c r="AN1013" s="104"/>
      <c r="AO1013" s="104"/>
      <c r="AP1013" s="104"/>
      <c r="AQ1013" s="104"/>
      <c r="AR1013" s="104"/>
      <c r="AS1013" s="104"/>
      <c r="AT1013" s="104"/>
      <c r="AU1013" s="104"/>
      <c r="AV1013" s="104"/>
      <c r="AW1013" s="104"/>
      <c r="AX1013" s="104"/>
      <c r="AY1013" s="104"/>
      <c r="AZ1013" s="104"/>
      <c r="BA1013" s="104"/>
      <c r="BB1013" s="104"/>
      <c r="BC1013" s="104"/>
      <c r="BD1013" s="104"/>
      <c r="BE1013" s="104"/>
      <c r="BF1013" s="104"/>
      <c r="BG1013" s="104"/>
      <c r="BH1013" s="104"/>
      <c r="BI1013" s="104"/>
      <c r="BJ1013" s="104"/>
      <c r="BK1013" s="104"/>
      <c r="BL1013" s="104"/>
      <c r="BM1013" s="104"/>
      <c r="BN1013" s="104"/>
      <c r="BO1013" s="104"/>
      <c r="BP1013" s="104"/>
      <c r="BQ1013" s="104"/>
      <c r="BR1013" s="104"/>
      <c r="BS1013" s="104"/>
      <c r="BT1013" s="104"/>
      <c r="BU1013" s="104"/>
      <c r="BV1013" s="104"/>
      <c r="BW1013" s="104"/>
      <c r="BX1013" s="104"/>
      <c r="BY1013" s="104"/>
      <c r="BZ1013" s="104"/>
      <c r="CA1013" s="104"/>
      <c r="CB1013" s="104"/>
      <c r="CC1013" s="104"/>
      <c r="CD1013" s="104"/>
      <c r="CE1013" s="104"/>
      <c r="CF1013" s="104"/>
      <c r="CG1013" s="104"/>
      <c r="CH1013" s="104"/>
      <c r="CI1013" s="104"/>
      <c r="CJ1013" s="104"/>
      <c r="CK1013" s="104"/>
      <c r="CL1013" s="104"/>
      <c r="CM1013" s="104"/>
      <c r="CN1013" s="104"/>
      <c r="CO1013" s="104"/>
      <c r="CP1013" s="104"/>
      <c r="CQ1013" s="104"/>
      <c r="CR1013" s="104"/>
      <c r="CS1013" s="104"/>
      <c r="CT1013" s="104"/>
      <c r="CU1013" s="104"/>
      <c r="CV1013" s="104"/>
      <c r="CW1013" s="104"/>
      <c r="CX1013" s="104"/>
      <c r="CY1013" s="104"/>
      <c r="CZ1013" s="104"/>
      <c r="DA1013" s="104"/>
      <c r="DB1013" s="104"/>
      <c r="DC1013" s="104"/>
      <c r="DD1013" s="104"/>
      <c r="DE1013" s="104"/>
      <c r="DF1013" s="104"/>
      <c r="DG1013" s="104"/>
      <c r="DH1013" s="104"/>
      <c r="DI1013" s="104"/>
      <c r="DJ1013" s="104"/>
      <c r="DK1013" s="104"/>
      <c r="DL1013" s="104"/>
      <c r="DM1013" s="104"/>
      <c r="DN1013" s="104"/>
      <c r="DO1013" s="104"/>
      <c r="DP1013" s="104"/>
      <c r="DQ1013" s="104"/>
      <c r="DR1013" s="104"/>
      <c r="DS1013" s="104"/>
      <c r="DT1013" s="104"/>
      <c r="DU1013" s="104"/>
      <c r="DV1013" s="104"/>
      <c r="DW1013" s="104"/>
      <c r="DX1013" s="104"/>
      <c r="DY1013" s="104"/>
      <c r="DZ1013" s="104"/>
      <c r="EA1013" s="104"/>
      <c r="EB1013" s="104"/>
      <c r="EC1013" s="104"/>
      <c r="ED1013" s="104"/>
      <c r="EE1013" s="104"/>
      <c r="EF1013" s="104"/>
      <c r="EG1013" s="104"/>
      <c r="EH1013" s="104"/>
      <c r="EI1013" s="104"/>
      <c r="EJ1013" s="104"/>
      <c r="EK1013" s="104"/>
      <c r="EL1013" s="104"/>
      <c r="EM1013" s="104"/>
      <c r="EN1013" s="104"/>
      <c r="EO1013" s="104"/>
      <c r="EP1013" s="104"/>
      <c r="EQ1013" s="104"/>
      <c r="ER1013" s="104"/>
      <c r="ES1013" s="104"/>
      <c r="ET1013" s="104"/>
      <c r="EU1013" s="104"/>
      <c r="EV1013" s="104"/>
      <c r="EW1013" s="104"/>
      <c r="EX1013" s="104"/>
      <c r="EY1013" s="104"/>
      <c r="EZ1013" s="104"/>
      <c r="FA1013" s="104"/>
      <c r="FB1013" s="104"/>
      <c r="FC1013" s="104"/>
      <c r="FD1013" s="104"/>
      <c r="FE1013" s="104"/>
      <c r="FF1013" s="104"/>
      <c r="FG1013" s="104"/>
      <c r="FH1013" s="104"/>
      <c r="FI1013" s="104"/>
      <c r="FJ1013" s="104"/>
      <c r="FK1013" s="104"/>
      <c r="FL1013" s="104"/>
      <c r="FM1013" s="104"/>
      <c r="FN1013" s="104"/>
      <c r="FO1013" s="104"/>
      <c r="FP1013" s="104"/>
      <c r="FQ1013" s="104"/>
      <c r="FR1013" s="104"/>
      <c r="FS1013" s="104"/>
      <c r="FT1013" s="104"/>
      <c r="FU1013" s="104"/>
      <c r="FV1013" s="104"/>
      <c r="FW1013" s="104"/>
      <c r="FX1013" s="104"/>
      <c r="FY1013" s="104"/>
      <c r="FZ1013" s="104"/>
      <c r="GA1013" s="104"/>
      <c r="GB1013" s="104"/>
      <c r="GC1013" s="104"/>
      <c r="GD1013" s="104"/>
      <c r="GE1013" s="104"/>
      <c r="GF1013" s="104"/>
      <c r="GG1013" s="104"/>
      <c r="GH1013" s="104"/>
      <c r="GI1013" s="104"/>
      <c r="GJ1013" s="104"/>
      <c r="GK1013" s="104"/>
      <c r="GL1013" s="104"/>
      <c r="GM1013" s="104"/>
      <c r="GN1013" s="104"/>
      <c r="GO1013" s="104"/>
      <c r="GP1013" s="104"/>
      <c r="GQ1013" s="104"/>
      <c r="GR1013" s="104"/>
      <c r="GS1013" s="104"/>
      <c r="GT1013" s="104"/>
      <c r="GU1013" s="104"/>
      <c r="GV1013" s="104"/>
      <c r="GW1013" s="104"/>
      <c r="GX1013" s="104"/>
      <c r="GY1013" s="104"/>
      <c r="GZ1013" s="104"/>
      <c r="HA1013" s="104"/>
      <c r="HB1013" s="104"/>
      <c r="HC1013" s="104"/>
      <c r="HD1013" s="104"/>
      <c r="HE1013" s="104"/>
      <c r="HF1013" s="104"/>
      <c r="HG1013" s="104"/>
      <c r="HH1013" s="104"/>
      <c r="HI1013" s="104"/>
      <c r="HJ1013" s="104"/>
      <c r="HK1013" s="104"/>
      <c r="HL1013" s="104"/>
      <c r="HM1013" s="104"/>
      <c r="HN1013" s="104"/>
      <c r="HO1013" s="104"/>
      <c r="HP1013" s="104"/>
      <c r="HQ1013" s="104"/>
      <c r="HR1013" s="104"/>
      <c r="HS1013" s="104"/>
      <c r="HT1013" s="104"/>
      <c r="HU1013" s="104"/>
      <c r="HV1013" s="104"/>
      <c r="HW1013" s="104"/>
      <c r="HX1013" s="104"/>
      <c r="HY1013" s="104"/>
      <c r="HZ1013" s="104"/>
      <c r="IA1013" s="104"/>
      <c r="IB1013" s="104"/>
      <c r="IC1013" s="104"/>
      <c r="ID1013" s="104"/>
      <c r="IE1013" s="104"/>
      <c r="IF1013" s="104"/>
      <c r="IG1013" s="104"/>
      <c r="IH1013" s="104"/>
      <c r="II1013" s="104"/>
      <c r="IJ1013" s="104"/>
      <c r="IK1013" s="104"/>
      <c r="IL1013" s="104"/>
      <c r="IM1013" s="104"/>
      <c r="IN1013" s="104"/>
      <c r="IO1013" s="104"/>
      <c r="IP1013" s="104"/>
      <c r="IQ1013" s="104"/>
      <c r="IR1013" s="104"/>
      <c r="IS1013" s="104"/>
      <c r="IT1013" s="104"/>
      <c r="IU1013" s="104"/>
      <c r="IV1013" s="104"/>
      <c r="IW1013" s="104"/>
      <c r="IX1013" s="104"/>
      <c r="IY1013" s="104"/>
      <c r="IZ1013" s="104"/>
      <c r="JA1013" s="104"/>
      <c r="JB1013" s="104"/>
      <c r="JC1013" s="104"/>
    </row>
    <row r="1014" spans="1:263" ht="18" customHeight="1" x14ac:dyDescent="0.2">
      <c r="A1014" s="56" t="s">
        <v>221</v>
      </c>
      <c r="B1014" s="39" t="s">
        <v>276</v>
      </c>
      <c r="C1014" s="32" t="s">
        <v>76</v>
      </c>
      <c r="D1014" s="41">
        <v>1</v>
      </c>
      <c r="E1014" s="90"/>
      <c r="F1014" s="90"/>
      <c r="G1014" s="90"/>
      <c r="H1014" s="89">
        <f t="shared" si="197"/>
        <v>1</v>
      </c>
      <c r="I1014" s="89">
        <f t="shared" si="198"/>
        <v>1</v>
      </c>
      <c r="J1014" s="90">
        <f t="shared" si="198"/>
        <v>1</v>
      </c>
      <c r="K1014" s="157">
        <v>2</v>
      </c>
      <c r="L1014" s="157">
        <v>1000</v>
      </c>
      <c r="M1014" s="158">
        <f t="shared" si="199"/>
        <v>2000</v>
      </c>
      <c r="N1014" s="34"/>
      <c r="O1014" s="82">
        <f t="shared" si="186"/>
        <v>1</v>
      </c>
    </row>
    <row r="1015" spans="1:263" ht="18" customHeight="1" x14ac:dyDescent="0.2">
      <c r="A1015" s="56" t="s">
        <v>222</v>
      </c>
      <c r="B1015" s="39" t="s">
        <v>315</v>
      </c>
      <c r="C1015" s="32" t="s">
        <v>76</v>
      </c>
      <c r="D1015" s="41">
        <v>1</v>
      </c>
      <c r="E1015" s="90"/>
      <c r="F1015" s="90"/>
      <c r="G1015" s="90"/>
      <c r="H1015" s="89">
        <f t="shared" si="197"/>
        <v>1</v>
      </c>
      <c r="I1015" s="89">
        <f t="shared" si="198"/>
        <v>1</v>
      </c>
      <c r="J1015" s="90">
        <f t="shared" si="198"/>
        <v>1</v>
      </c>
      <c r="K1015" s="157">
        <v>1</v>
      </c>
      <c r="L1015" s="157">
        <v>10000</v>
      </c>
      <c r="M1015" s="158">
        <f t="shared" si="199"/>
        <v>10000</v>
      </c>
      <c r="N1015" s="34"/>
      <c r="O1015" s="82">
        <f t="shared" si="186"/>
        <v>0</v>
      </c>
    </row>
    <row r="1016" spans="1:263" ht="18" customHeight="1" x14ac:dyDescent="0.2">
      <c r="A1016" s="56" t="s">
        <v>223</v>
      </c>
      <c r="B1016" s="39" t="s">
        <v>277</v>
      </c>
      <c r="C1016" s="32" t="s">
        <v>76</v>
      </c>
      <c r="D1016" s="41">
        <v>1</v>
      </c>
      <c r="E1016" s="90"/>
      <c r="F1016" s="90"/>
      <c r="G1016" s="90"/>
      <c r="H1016" s="89">
        <f t="shared" si="197"/>
        <v>1</v>
      </c>
      <c r="I1016" s="89">
        <f t="shared" si="198"/>
        <v>1</v>
      </c>
      <c r="J1016" s="90">
        <f t="shared" si="198"/>
        <v>1</v>
      </c>
      <c r="K1016" s="157">
        <v>1</v>
      </c>
      <c r="L1016" s="157">
        <v>350</v>
      </c>
      <c r="M1016" s="158">
        <f t="shared" si="199"/>
        <v>350</v>
      </c>
      <c r="N1016" s="34"/>
      <c r="O1016" s="82">
        <f t="shared" si="186"/>
        <v>0</v>
      </c>
    </row>
    <row r="1017" spans="1:263" ht="18" customHeight="1" x14ac:dyDescent="0.2">
      <c r="A1017" s="56" t="s">
        <v>224</v>
      </c>
      <c r="B1017" s="48" t="s">
        <v>123</v>
      </c>
      <c r="C1017" s="32" t="s">
        <v>76</v>
      </c>
      <c r="D1017" s="41">
        <v>8</v>
      </c>
      <c r="E1017" s="90"/>
      <c r="F1017" s="90"/>
      <c r="G1017" s="90"/>
      <c r="H1017" s="89">
        <f t="shared" si="197"/>
        <v>8</v>
      </c>
      <c r="I1017" s="89">
        <f t="shared" si="198"/>
        <v>8</v>
      </c>
      <c r="J1017" s="90">
        <f t="shared" si="198"/>
        <v>8</v>
      </c>
      <c r="K1017" s="157">
        <v>8</v>
      </c>
      <c r="L1017" s="157">
        <v>1200</v>
      </c>
      <c r="M1017" s="158">
        <f t="shared" si="199"/>
        <v>9600</v>
      </c>
      <c r="N1017" s="34"/>
      <c r="O1017" s="82">
        <f t="shared" si="186"/>
        <v>0</v>
      </c>
    </row>
    <row r="1018" spans="1:263" ht="18" customHeight="1" x14ac:dyDescent="0.2">
      <c r="A1018" s="56" t="s">
        <v>225</v>
      </c>
      <c r="B1018" s="48" t="s">
        <v>293</v>
      </c>
      <c r="C1018" s="32"/>
      <c r="D1018" s="32"/>
      <c r="E1018" s="89"/>
      <c r="F1018" s="89"/>
      <c r="G1018" s="89"/>
      <c r="H1018" s="89"/>
      <c r="I1018" s="89"/>
      <c r="J1018" s="89"/>
      <c r="K1018" s="157"/>
      <c r="L1018" s="157"/>
      <c r="M1018" s="158"/>
      <c r="N1018" s="34"/>
      <c r="O1018" s="82">
        <f t="shared" si="186"/>
        <v>0</v>
      </c>
    </row>
    <row r="1019" spans="1:263" ht="18" customHeight="1" x14ac:dyDescent="0.2">
      <c r="A1019" s="30" t="s">
        <v>226</v>
      </c>
      <c r="B1019" s="39" t="s">
        <v>136</v>
      </c>
      <c r="C1019" s="32" t="s">
        <v>1</v>
      </c>
      <c r="D1019" s="41">
        <v>1</v>
      </c>
      <c r="E1019" s="90">
        <v>70</v>
      </c>
      <c r="F1019" s="90"/>
      <c r="G1019" s="90"/>
      <c r="H1019" s="89">
        <f t="shared" ref="H1019:H1045" si="200">PRODUCT(D1019:G1019)</f>
        <v>70</v>
      </c>
      <c r="I1019" s="89">
        <f t="shared" ref="I1019:J1019" si="201">H1019</f>
        <v>70</v>
      </c>
      <c r="J1019" s="90">
        <f t="shared" si="201"/>
        <v>70</v>
      </c>
      <c r="K1019" s="157">
        <v>80</v>
      </c>
      <c r="L1019" s="157">
        <v>150</v>
      </c>
      <c r="M1019" s="158">
        <f t="shared" si="199"/>
        <v>12000</v>
      </c>
      <c r="N1019" s="34"/>
      <c r="O1019" s="82">
        <f t="shared" si="186"/>
        <v>10</v>
      </c>
    </row>
    <row r="1020" spans="1:263" ht="18" customHeight="1" x14ac:dyDescent="0.2">
      <c r="A1020" s="30" t="s">
        <v>228</v>
      </c>
      <c r="B1020" s="39" t="s">
        <v>137</v>
      </c>
      <c r="C1020" s="32" t="s">
        <v>1</v>
      </c>
      <c r="D1020" s="41"/>
      <c r="E1020" s="90"/>
      <c r="F1020" s="90"/>
      <c r="G1020" s="90"/>
      <c r="H1020" s="89">
        <f t="shared" si="200"/>
        <v>0</v>
      </c>
      <c r="I1020" s="89"/>
      <c r="J1020" s="90">
        <f>SUM(I1021:I1024)</f>
        <v>112</v>
      </c>
      <c r="K1020" s="157">
        <v>116</v>
      </c>
      <c r="L1020" s="157">
        <v>100</v>
      </c>
      <c r="M1020" s="158">
        <f t="shared" si="199"/>
        <v>11600</v>
      </c>
      <c r="N1020" s="34"/>
      <c r="O1020" s="82">
        <f t="shared" si="186"/>
        <v>4</v>
      </c>
    </row>
    <row r="1021" spans="1:263" s="5" customFormat="1" ht="16.149999999999999" customHeight="1" x14ac:dyDescent="0.2">
      <c r="A1021" s="30"/>
      <c r="B1021" s="98" t="s">
        <v>464</v>
      </c>
      <c r="C1021" s="32"/>
      <c r="D1021" s="32">
        <v>1</v>
      </c>
      <c r="E1021" s="90">
        <f>14+17+10</f>
        <v>41</v>
      </c>
      <c r="F1021" s="89"/>
      <c r="G1021" s="89"/>
      <c r="H1021" s="89">
        <f t="shared" si="200"/>
        <v>41</v>
      </c>
      <c r="I1021" s="89">
        <f>H1021</f>
        <v>41</v>
      </c>
      <c r="K1021" s="157"/>
      <c r="L1021" s="157"/>
      <c r="M1021" s="158"/>
      <c r="O1021" s="82">
        <f t="shared" si="186"/>
        <v>0</v>
      </c>
    </row>
    <row r="1022" spans="1:263" s="5" customFormat="1" ht="16.149999999999999" customHeight="1" x14ac:dyDescent="0.2">
      <c r="A1022" s="30"/>
      <c r="B1022" s="98" t="s">
        <v>465</v>
      </c>
      <c r="C1022" s="32"/>
      <c r="D1022" s="32"/>
      <c r="E1022" s="90">
        <v>20</v>
      </c>
      <c r="F1022" s="89"/>
      <c r="G1022" s="89"/>
      <c r="H1022" s="89">
        <f t="shared" si="200"/>
        <v>20</v>
      </c>
      <c r="I1022" s="89">
        <f t="shared" ref="I1022:I1024" si="202">H1022</f>
        <v>20</v>
      </c>
      <c r="J1022" s="89"/>
      <c r="K1022" s="157"/>
      <c r="L1022" s="157"/>
      <c r="M1022" s="158"/>
      <c r="O1022" s="82">
        <f t="shared" si="186"/>
        <v>0</v>
      </c>
    </row>
    <row r="1023" spans="1:263" s="5" customFormat="1" ht="16.149999999999999" customHeight="1" x14ac:dyDescent="0.2">
      <c r="A1023" s="30"/>
      <c r="B1023" s="98" t="s">
        <v>466</v>
      </c>
      <c r="C1023" s="32"/>
      <c r="D1023" s="32"/>
      <c r="E1023" s="90">
        <f t="shared" ref="E1023" si="203">35+10</f>
        <v>45</v>
      </c>
      <c r="F1023" s="89"/>
      <c r="G1023" s="89"/>
      <c r="H1023" s="89">
        <f t="shared" si="200"/>
        <v>45</v>
      </c>
      <c r="I1023" s="89">
        <f t="shared" si="202"/>
        <v>45</v>
      </c>
      <c r="J1023" s="89"/>
      <c r="K1023" s="157"/>
      <c r="L1023" s="157"/>
      <c r="M1023" s="158"/>
      <c r="O1023" s="82">
        <f t="shared" si="186"/>
        <v>0</v>
      </c>
    </row>
    <row r="1024" spans="1:263" s="5" customFormat="1" ht="16.149999999999999" customHeight="1" x14ac:dyDescent="0.2">
      <c r="A1024" s="30"/>
      <c r="B1024" s="98" t="s">
        <v>467</v>
      </c>
      <c r="C1024" s="32"/>
      <c r="D1024" s="32"/>
      <c r="E1024" s="90">
        <v>6</v>
      </c>
      <c r="F1024" s="89"/>
      <c r="G1024" s="89"/>
      <c r="H1024" s="89">
        <f t="shared" si="200"/>
        <v>6</v>
      </c>
      <c r="I1024" s="89">
        <f t="shared" si="202"/>
        <v>6</v>
      </c>
      <c r="J1024" s="89"/>
      <c r="K1024" s="157"/>
      <c r="L1024" s="157"/>
      <c r="M1024" s="158"/>
      <c r="O1024" s="82">
        <f t="shared" si="186"/>
        <v>0</v>
      </c>
    </row>
    <row r="1025" spans="1:15" s="5" customFormat="1" ht="16.149999999999999" customHeight="1" x14ac:dyDescent="0.2">
      <c r="A1025" s="30"/>
      <c r="B1025" s="98"/>
      <c r="C1025" s="32"/>
      <c r="D1025" s="41"/>
      <c r="E1025" s="90"/>
      <c r="F1025" s="90"/>
      <c r="G1025" s="90"/>
      <c r="H1025" s="89"/>
      <c r="I1025" s="89"/>
      <c r="J1025" s="90"/>
      <c r="K1025" s="157"/>
      <c r="L1025" s="157"/>
      <c r="M1025" s="158"/>
      <c r="O1025" s="82">
        <f t="shared" si="186"/>
        <v>0</v>
      </c>
    </row>
    <row r="1026" spans="1:15" s="3" customFormat="1" ht="18" customHeight="1" x14ac:dyDescent="0.2">
      <c r="A1026" s="30" t="s">
        <v>227</v>
      </c>
      <c r="B1026" s="39" t="s">
        <v>138</v>
      </c>
      <c r="C1026" s="32" t="s">
        <v>1</v>
      </c>
      <c r="D1026" s="41"/>
      <c r="E1026" s="90"/>
      <c r="F1026" s="90"/>
      <c r="G1026" s="90"/>
      <c r="H1026" s="89">
        <f t="shared" si="200"/>
        <v>0</v>
      </c>
      <c r="I1026" s="89"/>
      <c r="J1026" s="90">
        <f>SUM(I1027)</f>
        <v>40</v>
      </c>
      <c r="K1026" s="157">
        <v>40</v>
      </c>
      <c r="L1026" s="157">
        <v>80</v>
      </c>
      <c r="M1026" s="158">
        <f t="shared" si="199"/>
        <v>3200</v>
      </c>
      <c r="N1026" s="34"/>
      <c r="O1026" s="82">
        <f t="shared" si="186"/>
        <v>0</v>
      </c>
    </row>
    <row r="1027" spans="1:15" s="5" customFormat="1" ht="16.149999999999999" customHeight="1" x14ac:dyDescent="0.2">
      <c r="A1027" s="30"/>
      <c r="B1027" s="98" t="s">
        <v>464</v>
      </c>
      <c r="C1027" s="32"/>
      <c r="D1027" s="32">
        <v>1</v>
      </c>
      <c r="E1027" s="90">
        <v>40</v>
      </c>
      <c r="F1027" s="89"/>
      <c r="G1027" s="89"/>
      <c r="H1027" s="89">
        <f t="shared" ref="H1027" si="204">PRODUCT(D1027:G1027)</f>
        <v>40</v>
      </c>
      <c r="I1027" s="89">
        <f>H1027</f>
        <v>40</v>
      </c>
      <c r="K1027" s="157"/>
      <c r="L1027" s="157"/>
      <c r="M1027" s="158"/>
      <c r="O1027" s="82">
        <f t="shared" si="186"/>
        <v>0</v>
      </c>
    </row>
    <row r="1028" spans="1:15" s="3" customFormat="1" ht="18" customHeight="1" x14ac:dyDescent="0.2">
      <c r="A1028" s="30"/>
      <c r="B1028" s="39"/>
      <c r="C1028" s="32"/>
      <c r="D1028" s="41"/>
      <c r="E1028" s="90"/>
      <c r="F1028" s="90"/>
      <c r="G1028" s="90"/>
      <c r="H1028" s="89"/>
      <c r="I1028" s="89"/>
      <c r="J1028" s="90"/>
      <c r="K1028" s="157"/>
      <c r="L1028" s="157"/>
      <c r="M1028" s="158"/>
      <c r="N1028" s="34"/>
      <c r="O1028" s="82">
        <f t="shared" si="186"/>
        <v>0</v>
      </c>
    </row>
    <row r="1029" spans="1:15" s="3" customFormat="1" ht="18" customHeight="1" x14ac:dyDescent="0.2">
      <c r="A1029" s="30" t="s">
        <v>229</v>
      </c>
      <c r="B1029" s="39" t="s">
        <v>139</v>
      </c>
      <c r="C1029" s="32" t="s">
        <v>1</v>
      </c>
      <c r="D1029" s="41">
        <v>1</v>
      </c>
      <c r="E1029" s="90">
        <v>150</v>
      </c>
      <c r="F1029" s="90"/>
      <c r="G1029" s="90"/>
      <c r="H1029" s="89">
        <f t="shared" si="200"/>
        <v>150</v>
      </c>
      <c r="I1029" s="89">
        <f t="shared" ref="I1029" si="205">H1029</f>
        <v>150</v>
      </c>
      <c r="J1029" s="90">
        <f>I1029</f>
        <v>150</v>
      </c>
      <c r="K1029" s="157">
        <v>150</v>
      </c>
      <c r="L1029" s="157">
        <v>60</v>
      </c>
      <c r="M1029" s="158">
        <f t="shared" si="199"/>
        <v>9000</v>
      </c>
      <c r="N1029" s="34"/>
      <c r="O1029" s="82">
        <f t="shared" si="186"/>
        <v>0</v>
      </c>
    </row>
    <row r="1030" spans="1:15" s="3" customFormat="1" ht="18" customHeight="1" x14ac:dyDescent="0.2">
      <c r="A1030" s="30"/>
      <c r="B1030" s="39"/>
      <c r="C1030" s="32"/>
      <c r="D1030" s="41"/>
      <c r="E1030" s="90"/>
      <c r="F1030" s="90"/>
      <c r="G1030" s="90"/>
      <c r="H1030" s="89"/>
      <c r="I1030" s="89"/>
      <c r="J1030" s="90"/>
      <c r="K1030" s="157"/>
      <c r="L1030" s="157"/>
      <c r="M1030" s="158"/>
      <c r="N1030" s="34"/>
      <c r="O1030" s="82">
        <f t="shared" ref="O1030:O1093" si="206">K1030-J1030</f>
        <v>0</v>
      </c>
    </row>
    <row r="1031" spans="1:15" ht="18" customHeight="1" x14ac:dyDescent="0.2">
      <c r="A1031" s="56" t="s">
        <v>230</v>
      </c>
      <c r="B1031" s="39" t="s">
        <v>278</v>
      </c>
      <c r="C1031" s="32" t="s">
        <v>76</v>
      </c>
      <c r="D1031" s="41">
        <v>2</v>
      </c>
      <c r="E1031" s="90"/>
      <c r="F1031" s="90"/>
      <c r="G1031" s="90"/>
      <c r="H1031" s="89"/>
      <c r="I1031" s="89"/>
      <c r="J1031" s="90">
        <f>SUM(I1031:I1035)</f>
        <v>4</v>
      </c>
      <c r="K1031" s="157">
        <v>4</v>
      </c>
      <c r="L1031" s="157">
        <v>1500</v>
      </c>
      <c r="M1031" s="158">
        <f t="shared" si="199"/>
        <v>6000</v>
      </c>
      <c r="N1031" s="34"/>
      <c r="O1031" s="82">
        <f t="shared" si="206"/>
        <v>0</v>
      </c>
    </row>
    <row r="1032" spans="1:15" s="5" customFormat="1" ht="16.149999999999999" customHeight="1" x14ac:dyDescent="0.2">
      <c r="A1032" s="30"/>
      <c r="B1032" s="98" t="s">
        <v>464</v>
      </c>
      <c r="C1032" s="32"/>
      <c r="D1032" s="32">
        <v>1</v>
      </c>
      <c r="E1032" s="89">
        <v>1</v>
      </c>
      <c r="F1032" s="89"/>
      <c r="G1032" s="89"/>
      <c r="H1032" s="89">
        <f t="shared" ref="H1032:H1033" si="207">PRODUCT(D1032:G1032)</f>
        <v>1</v>
      </c>
      <c r="I1032" s="89">
        <f>H1032</f>
        <v>1</v>
      </c>
      <c r="K1032" s="157"/>
      <c r="L1032" s="157"/>
      <c r="M1032" s="158"/>
      <c r="O1032" s="82">
        <f t="shared" si="206"/>
        <v>0</v>
      </c>
    </row>
    <row r="1033" spans="1:15" s="5" customFormat="1" ht="16.149999999999999" customHeight="1" x14ac:dyDescent="0.2">
      <c r="A1033" s="30"/>
      <c r="B1033" s="98" t="s">
        <v>465</v>
      </c>
      <c r="C1033" s="32"/>
      <c r="D1033" s="32">
        <v>1</v>
      </c>
      <c r="E1033" s="89">
        <v>1</v>
      </c>
      <c r="F1033" s="89"/>
      <c r="G1033" s="89"/>
      <c r="H1033" s="89">
        <f t="shared" si="207"/>
        <v>1</v>
      </c>
      <c r="I1033" s="89">
        <f t="shared" ref="I1033:I1035" si="208">H1033</f>
        <v>1</v>
      </c>
      <c r="J1033" s="89"/>
      <c r="K1033" s="157"/>
      <c r="L1033" s="157"/>
      <c r="M1033" s="158"/>
      <c r="O1033" s="82">
        <f t="shared" si="206"/>
        <v>0</v>
      </c>
    </row>
    <row r="1034" spans="1:15" s="5" customFormat="1" ht="16.149999999999999" customHeight="1" x14ac:dyDescent="0.2">
      <c r="A1034" s="30"/>
      <c r="B1034" s="98" t="s">
        <v>466</v>
      </c>
      <c r="C1034" s="32"/>
      <c r="D1034" s="32">
        <v>1</v>
      </c>
      <c r="E1034" s="89">
        <v>1</v>
      </c>
      <c r="F1034" s="89"/>
      <c r="G1034" s="89"/>
      <c r="H1034" s="89">
        <f t="shared" ref="H1034:H1035" si="209">PRODUCT(D1034:G1034)</f>
        <v>1</v>
      </c>
      <c r="I1034" s="89">
        <f t="shared" si="208"/>
        <v>1</v>
      </c>
      <c r="J1034" s="89"/>
      <c r="K1034" s="157"/>
      <c r="L1034" s="157"/>
      <c r="M1034" s="158"/>
      <c r="O1034" s="82">
        <f t="shared" si="206"/>
        <v>0</v>
      </c>
    </row>
    <row r="1035" spans="1:15" s="5" customFormat="1" ht="16.149999999999999" customHeight="1" x14ac:dyDescent="0.2">
      <c r="A1035" s="30"/>
      <c r="B1035" s="98" t="s">
        <v>467</v>
      </c>
      <c r="C1035" s="32"/>
      <c r="D1035" s="32">
        <v>1</v>
      </c>
      <c r="E1035" s="89">
        <v>1</v>
      </c>
      <c r="F1035" s="89"/>
      <c r="G1035" s="89"/>
      <c r="H1035" s="89">
        <f t="shared" si="209"/>
        <v>1</v>
      </c>
      <c r="I1035" s="89">
        <f t="shared" si="208"/>
        <v>1</v>
      </c>
      <c r="J1035" s="89"/>
      <c r="K1035" s="157"/>
      <c r="L1035" s="157"/>
      <c r="M1035" s="158"/>
      <c r="O1035" s="82">
        <f t="shared" si="206"/>
        <v>0</v>
      </c>
    </row>
    <row r="1036" spans="1:15" ht="15.95" customHeight="1" x14ac:dyDescent="0.2">
      <c r="A1036" s="40"/>
      <c r="B1036" s="45"/>
      <c r="C1036" s="41"/>
      <c r="D1036" s="41"/>
      <c r="E1036" s="90"/>
      <c r="F1036" s="90"/>
      <c r="G1036" s="90"/>
      <c r="H1036" s="89"/>
      <c r="I1036" s="90"/>
      <c r="J1036" s="90"/>
      <c r="K1036" s="163"/>
      <c r="L1036" s="163"/>
      <c r="M1036" s="158"/>
      <c r="N1036" s="43"/>
      <c r="O1036" s="82">
        <f t="shared" si="206"/>
        <v>0</v>
      </c>
    </row>
    <row r="1037" spans="1:15" ht="18" customHeight="1" x14ac:dyDescent="0.2">
      <c r="A1037" s="56" t="s">
        <v>231</v>
      </c>
      <c r="B1037" s="39" t="s">
        <v>68</v>
      </c>
      <c r="C1037" s="32" t="s">
        <v>76</v>
      </c>
      <c r="D1037" s="41"/>
      <c r="E1037" s="90"/>
      <c r="F1037" s="90"/>
      <c r="G1037" s="90"/>
      <c r="H1037" s="89">
        <f t="shared" si="200"/>
        <v>0</v>
      </c>
      <c r="I1037" s="89">
        <f t="shared" ref="I1037:I1039" si="210">H1037</f>
        <v>0</v>
      </c>
      <c r="J1037" s="90">
        <f>SUM(I1038:I1039)</f>
        <v>14</v>
      </c>
      <c r="K1037" s="157">
        <v>14</v>
      </c>
      <c r="L1037" s="157">
        <v>800</v>
      </c>
      <c r="M1037" s="158">
        <f t="shared" si="199"/>
        <v>11200</v>
      </c>
      <c r="N1037" s="34"/>
      <c r="O1037" s="82">
        <f t="shared" si="206"/>
        <v>0</v>
      </c>
    </row>
    <row r="1038" spans="1:15" s="5" customFormat="1" ht="16.149999999999999" customHeight="1" x14ac:dyDescent="0.2">
      <c r="A1038" s="30"/>
      <c r="B1038" s="98" t="s">
        <v>465</v>
      </c>
      <c r="C1038" s="32"/>
      <c r="D1038" s="32">
        <v>2</v>
      </c>
      <c r="E1038" s="89">
        <v>1</v>
      </c>
      <c r="F1038" s="89"/>
      <c r="G1038" s="89"/>
      <c r="H1038" s="89">
        <f t="shared" si="200"/>
        <v>2</v>
      </c>
      <c r="I1038" s="89">
        <f t="shared" si="210"/>
        <v>2</v>
      </c>
      <c r="J1038" s="89"/>
      <c r="K1038" s="157"/>
      <c r="L1038" s="157"/>
      <c r="M1038" s="158"/>
      <c r="O1038" s="82">
        <f t="shared" si="206"/>
        <v>0</v>
      </c>
    </row>
    <row r="1039" spans="1:15" s="5" customFormat="1" ht="16.149999999999999" customHeight="1" x14ac:dyDescent="0.2">
      <c r="A1039" s="30"/>
      <c r="B1039" s="98" t="s">
        <v>466</v>
      </c>
      <c r="C1039" s="32"/>
      <c r="D1039" s="32">
        <v>12</v>
      </c>
      <c r="E1039" s="89">
        <v>1</v>
      </c>
      <c r="F1039" s="89"/>
      <c r="G1039" s="89"/>
      <c r="H1039" s="89">
        <f t="shared" si="200"/>
        <v>12</v>
      </c>
      <c r="I1039" s="89">
        <f t="shared" si="210"/>
        <v>12</v>
      </c>
      <c r="J1039" s="89"/>
      <c r="K1039" s="157"/>
      <c r="L1039" s="157"/>
      <c r="M1039" s="158"/>
      <c r="O1039" s="82">
        <f t="shared" si="206"/>
        <v>0</v>
      </c>
    </row>
    <row r="1040" spans="1:15" ht="18" customHeight="1" x14ac:dyDescent="0.2">
      <c r="A1040" s="56"/>
      <c r="B1040" s="39"/>
      <c r="C1040" s="41"/>
      <c r="D1040" s="41"/>
      <c r="E1040" s="90"/>
      <c r="F1040" s="90"/>
      <c r="G1040" s="90"/>
      <c r="H1040" s="89"/>
      <c r="I1040" s="89"/>
      <c r="J1040" s="90"/>
      <c r="K1040" s="157"/>
      <c r="L1040" s="157"/>
      <c r="M1040" s="158"/>
      <c r="N1040" s="34"/>
      <c r="O1040" s="82">
        <f t="shared" si="206"/>
        <v>0</v>
      </c>
    </row>
    <row r="1041" spans="1:15" ht="18" customHeight="1" x14ac:dyDescent="0.2">
      <c r="A1041" s="56">
        <v>150</v>
      </c>
      <c r="B1041" s="39" t="s">
        <v>12</v>
      </c>
      <c r="C1041" s="41" t="s">
        <v>76</v>
      </c>
      <c r="D1041" s="41">
        <v>2</v>
      </c>
      <c r="E1041" s="90"/>
      <c r="F1041" s="90"/>
      <c r="G1041" s="90"/>
      <c r="H1041" s="89"/>
      <c r="I1041" s="89">
        <f t="shared" ref="I1041" si="211">H1041</f>
        <v>0</v>
      </c>
      <c r="J1041" s="90">
        <f>SUM(I1042:I1043)</f>
        <v>2</v>
      </c>
      <c r="K1041" s="157">
        <v>2</v>
      </c>
      <c r="L1041" s="157">
        <v>350</v>
      </c>
      <c r="M1041" s="158">
        <f t="shared" si="199"/>
        <v>700</v>
      </c>
      <c r="N1041" s="34"/>
      <c r="O1041" s="82">
        <f t="shared" si="206"/>
        <v>0</v>
      </c>
    </row>
    <row r="1042" spans="1:15" s="5" customFormat="1" ht="16.149999999999999" customHeight="1" x14ac:dyDescent="0.2">
      <c r="A1042" s="30"/>
      <c r="B1042" s="98" t="s">
        <v>464</v>
      </c>
      <c r="C1042" s="32"/>
      <c r="D1042" s="32">
        <v>1</v>
      </c>
      <c r="E1042" s="89">
        <v>1</v>
      </c>
      <c r="F1042" s="89"/>
      <c r="G1042" s="89"/>
      <c r="H1042" s="89">
        <f t="shared" si="200"/>
        <v>1</v>
      </c>
      <c r="I1042" s="89">
        <f>H1042</f>
        <v>1</v>
      </c>
      <c r="K1042" s="157"/>
      <c r="L1042" s="157"/>
      <c r="M1042" s="158"/>
      <c r="O1042" s="82">
        <f t="shared" si="206"/>
        <v>0</v>
      </c>
    </row>
    <row r="1043" spans="1:15" s="5" customFormat="1" ht="16.149999999999999" customHeight="1" x14ac:dyDescent="0.2">
      <c r="A1043" s="30"/>
      <c r="B1043" s="98" t="s">
        <v>465</v>
      </c>
      <c r="C1043" s="32"/>
      <c r="D1043" s="32">
        <v>1</v>
      </c>
      <c r="E1043" s="89">
        <v>1</v>
      </c>
      <c r="F1043" s="89"/>
      <c r="G1043" s="89"/>
      <c r="H1043" s="89">
        <f t="shared" si="200"/>
        <v>1</v>
      </c>
      <c r="I1043" s="89">
        <f t="shared" ref="I1043" si="212">H1043</f>
        <v>1</v>
      </c>
      <c r="J1043" s="89"/>
      <c r="K1043" s="157"/>
      <c r="L1043" s="157"/>
      <c r="M1043" s="158"/>
      <c r="O1043" s="82">
        <f t="shared" si="206"/>
        <v>0</v>
      </c>
    </row>
    <row r="1044" spans="1:15" ht="18" customHeight="1" x14ac:dyDescent="0.2">
      <c r="A1044" s="56"/>
      <c r="B1044" s="46"/>
      <c r="C1044" s="41"/>
      <c r="D1044" s="41"/>
      <c r="E1044" s="90"/>
      <c r="F1044" s="90"/>
      <c r="G1044" s="90"/>
      <c r="H1044" s="89"/>
      <c r="I1044" s="89"/>
      <c r="J1044" s="90"/>
      <c r="K1044" s="163"/>
      <c r="L1044" s="163"/>
      <c r="M1044" s="158"/>
      <c r="N1044" s="43"/>
      <c r="O1044" s="82">
        <f t="shared" si="206"/>
        <v>0</v>
      </c>
    </row>
    <row r="1045" spans="1:15" ht="15.95" customHeight="1" x14ac:dyDescent="0.2">
      <c r="A1045" s="56" t="s">
        <v>232</v>
      </c>
      <c r="B1045" s="46" t="s">
        <v>90</v>
      </c>
      <c r="C1045" s="41" t="s">
        <v>76</v>
      </c>
      <c r="D1045" s="41">
        <v>4</v>
      </c>
      <c r="E1045" s="90"/>
      <c r="F1045" s="90"/>
      <c r="G1045" s="90"/>
      <c r="H1045" s="89">
        <f t="shared" si="200"/>
        <v>4</v>
      </c>
      <c r="I1045" s="89">
        <f t="shared" ref="I1045:J1045" si="213">H1045</f>
        <v>4</v>
      </c>
      <c r="J1045" s="90">
        <f t="shared" si="213"/>
        <v>4</v>
      </c>
      <c r="K1045" s="163">
        <v>4</v>
      </c>
      <c r="L1045" s="163">
        <v>250</v>
      </c>
      <c r="M1045" s="158">
        <f t="shared" si="199"/>
        <v>1000</v>
      </c>
      <c r="N1045" s="43"/>
      <c r="O1045" s="82">
        <f t="shared" si="206"/>
        <v>0</v>
      </c>
    </row>
    <row r="1046" spans="1:15" ht="18" customHeight="1" x14ac:dyDescent="0.2">
      <c r="A1046" s="30"/>
      <c r="B1046" s="31" t="s">
        <v>233</v>
      </c>
      <c r="C1046" s="32"/>
      <c r="D1046" s="32"/>
      <c r="E1046" s="89"/>
      <c r="F1046" s="89"/>
      <c r="G1046" s="89"/>
      <c r="H1046" s="89"/>
      <c r="I1046" s="89"/>
      <c r="J1046" s="89"/>
      <c r="K1046" s="157"/>
      <c r="L1046" s="157"/>
      <c r="M1046" s="158"/>
      <c r="N1046" s="34"/>
      <c r="O1046" s="82">
        <f t="shared" si="206"/>
        <v>0</v>
      </c>
    </row>
    <row r="1047" spans="1:15" ht="18" customHeight="1" x14ac:dyDescent="0.2">
      <c r="A1047" s="56" t="s">
        <v>234</v>
      </c>
      <c r="B1047" s="39" t="s">
        <v>124</v>
      </c>
      <c r="C1047" s="32" t="s">
        <v>76</v>
      </c>
      <c r="D1047" s="41"/>
      <c r="E1047" s="90"/>
      <c r="F1047" s="90"/>
      <c r="G1047" s="90"/>
      <c r="H1047" s="89">
        <f t="shared" ref="H1047:H1071" si="214">PRODUCT(D1047:G1047)</f>
        <v>0</v>
      </c>
      <c r="I1047" s="89">
        <f t="shared" ref="I1047" si="215">H1047</f>
        <v>0</v>
      </c>
      <c r="J1047" s="90">
        <f>SUM(I1047:I1051)</f>
        <v>17</v>
      </c>
      <c r="K1047" s="157">
        <v>17</v>
      </c>
      <c r="L1047" s="157">
        <v>100</v>
      </c>
      <c r="M1047" s="158">
        <f t="shared" si="199"/>
        <v>1700</v>
      </c>
      <c r="N1047" s="34"/>
      <c r="O1047" s="82">
        <f t="shared" si="206"/>
        <v>0</v>
      </c>
    </row>
    <row r="1048" spans="1:15" s="5" customFormat="1" ht="16.149999999999999" customHeight="1" x14ac:dyDescent="0.2">
      <c r="A1048" s="30"/>
      <c r="B1048" s="98" t="s">
        <v>464</v>
      </c>
      <c r="C1048" s="32"/>
      <c r="D1048" s="32"/>
      <c r="E1048" s="89"/>
      <c r="F1048" s="89"/>
      <c r="G1048" s="89"/>
      <c r="H1048" s="89">
        <f t="shared" si="214"/>
        <v>0</v>
      </c>
      <c r="I1048" s="89">
        <f>H1048</f>
        <v>0</v>
      </c>
      <c r="K1048" s="157"/>
      <c r="L1048" s="157"/>
      <c r="M1048" s="158"/>
      <c r="O1048" s="82">
        <f t="shared" si="206"/>
        <v>0</v>
      </c>
    </row>
    <row r="1049" spans="1:15" s="5" customFormat="1" ht="16.149999999999999" customHeight="1" x14ac:dyDescent="0.2">
      <c r="A1049" s="30"/>
      <c r="B1049" s="98" t="s">
        <v>465</v>
      </c>
      <c r="C1049" s="32"/>
      <c r="D1049" s="32">
        <v>5</v>
      </c>
      <c r="E1049" s="89"/>
      <c r="F1049" s="89"/>
      <c r="G1049" s="89"/>
      <c r="H1049" s="89">
        <f t="shared" si="214"/>
        <v>5</v>
      </c>
      <c r="I1049" s="89">
        <f t="shared" ref="I1049:I1051" si="216">H1049</f>
        <v>5</v>
      </c>
      <c r="J1049" s="89"/>
      <c r="K1049" s="157"/>
      <c r="L1049" s="157"/>
      <c r="M1049" s="158"/>
      <c r="O1049" s="82">
        <f t="shared" si="206"/>
        <v>0</v>
      </c>
    </row>
    <row r="1050" spans="1:15" s="5" customFormat="1" ht="16.149999999999999" customHeight="1" x14ac:dyDescent="0.2">
      <c r="A1050" s="30"/>
      <c r="B1050" s="98" t="s">
        <v>466</v>
      </c>
      <c r="C1050" s="32"/>
      <c r="D1050" s="32">
        <v>12</v>
      </c>
      <c r="E1050" s="89"/>
      <c r="F1050" s="89"/>
      <c r="G1050" s="89"/>
      <c r="H1050" s="89">
        <f t="shared" si="214"/>
        <v>12</v>
      </c>
      <c r="I1050" s="89">
        <f t="shared" si="216"/>
        <v>12</v>
      </c>
      <c r="J1050" s="89"/>
      <c r="K1050" s="157"/>
      <c r="L1050" s="157"/>
      <c r="M1050" s="158"/>
      <c r="O1050" s="82">
        <f t="shared" si="206"/>
        <v>0</v>
      </c>
    </row>
    <row r="1051" spans="1:15" s="5" customFormat="1" ht="16.149999999999999" customHeight="1" x14ac:dyDescent="0.2">
      <c r="A1051" s="30"/>
      <c r="B1051" s="98" t="s">
        <v>467</v>
      </c>
      <c r="C1051" s="32"/>
      <c r="D1051" s="32"/>
      <c r="E1051" s="89"/>
      <c r="F1051" s="89"/>
      <c r="G1051" s="89"/>
      <c r="H1051" s="89">
        <f t="shared" si="214"/>
        <v>0</v>
      </c>
      <c r="I1051" s="89">
        <f t="shared" si="216"/>
        <v>0</v>
      </c>
      <c r="J1051" s="89"/>
      <c r="K1051" s="157"/>
      <c r="L1051" s="157"/>
      <c r="M1051" s="158"/>
      <c r="O1051" s="82">
        <f t="shared" si="206"/>
        <v>0</v>
      </c>
    </row>
    <row r="1052" spans="1:15" ht="18" customHeight="1" x14ac:dyDescent="0.2">
      <c r="A1052" s="56" t="s">
        <v>235</v>
      </c>
      <c r="B1052" s="39" t="s">
        <v>316</v>
      </c>
      <c r="C1052" s="32" t="s">
        <v>76</v>
      </c>
      <c r="D1052" s="41"/>
      <c r="E1052" s="90"/>
      <c r="F1052" s="90"/>
      <c r="G1052" s="90"/>
      <c r="H1052" s="89">
        <f t="shared" si="214"/>
        <v>0</v>
      </c>
      <c r="I1052" s="89">
        <f t="shared" ref="I1052" si="217">H1052</f>
        <v>0</v>
      </c>
      <c r="J1052" s="90">
        <f>SUM(I1052:I1056)</f>
        <v>13</v>
      </c>
      <c r="K1052" s="157">
        <v>13</v>
      </c>
      <c r="L1052" s="157">
        <v>110</v>
      </c>
      <c r="M1052" s="158">
        <f t="shared" si="199"/>
        <v>1430</v>
      </c>
      <c r="N1052" s="34"/>
      <c r="O1052" s="82">
        <f t="shared" si="206"/>
        <v>0</v>
      </c>
    </row>
    <row r="1053" spans="1:15" s="5" customFormat="1" ht="16.149999999999999" customHeight="1" x14ac:dyDescent="0.2">
      <c r="A1053" s="30"/>
      <c r="B1053" s="98" t="s">
        <v>464</v>
      </c>
      <c r="C1053" s="32"/>
      <c r="D1053" s="32">
        <v>4</v>
      </c>
      <c r="E1053" s="89"/>
      <c r="F1053" s="89"/>
      <c r="G1053" s="89"/>
      <c r="H1053" s="89">
        <f t="shared" ref="H1053:H1056" si="218">PRODUCT(D1053:G1053)</f>
        <v>4</v>
      </c>
      <c r="I1053" s="89">
        <f>H1053</f>
        <v>4</v>
      </c>
      <c r="K1053" s="157"/>
      <c r="L1053" s="157"/>
      <c r="M1053" s="158"/>
      <c r="O1053" s="82">
        <f t="shared" si="206"/>
        <v>0</v>
      </c>
    </row>
    <row r="1054" spans="1:15" s="5" customFormat="1" ht="16.149999999999999" customHeight="1" x14ac:dyDescent="0.2">
      <c r="A1054" s="30"/>
      <c r="B1054" s="98" t="s">
        <v>465</v>
      </c>
      <c r="C1054" s="32"/>
      <c r="D1054" s="32">
        <v>4</v>
      </c>
      <c r="E1054" s="89"/>
      <c r="F1054" s="89"/>
      <c r="G1054" s="89"/>
      <c r="H1054" s="89">
        <f t="shared" si="218"/>
        <v>4</v>
      </c>
      <c r="I1054" s="89">
        <f t="shared" ref="I1054:I1056" si="219">H1054</f>
        <v>4</v>
      </c>
      <c r="J1054" s="89"/>
      <c r="K1054" s="157"/>
      <c r="L1054" s="157"/>
      <c r="M1054" s="158"/>
      <c r="O1054" s="82">
        <f t="shared" si="206"/>
        <v>0</v>
      </c>
    </row>
    <row r="1055" spans="1:15" s="5" customFormat="1" ht="16.149999999999999" customHeight="1" x14ac:dyDescent="0.2">
      <c r="A1055" s="30"/>
      <c r="B1055" s="98" t="s">
        <v>466</v>
      </c>
      <c r="C1055" s="32"/>
      <c r="D1055" s="32">
        <v>4</v>
      </c>
      <c r="E1055" s="89"/>
      <c r="F1055" s="89"/>
      <c r="G1055" s="89"/>
      <c r="H1055" s="89">
        <f t="shared" si="218"/>
        <v>4</v>
      </c>
      <c r="I1055" s="89">
        <f t="shared" si="219"/>
        <v>4</v>
      </c>
      <c r="J1055" s="89"/>
      <c r="K1055" s="157"/>
      <c r="L1055" s="157"/>
      <c r="M1055" s="158"/>
      <c r="O1055" s="82">
        <f t="shared" si="206"/>
        <v>0</v>
      </c>
    </row>
    <row r="1056" spans="1:15" s="5" customFormat="1" ht="16.149999999999999" customHeight="1" x14ac:dyDescent="0.2">
      <c r="A1056" s="30"/>
      <c r="B1056" s="98" t="s">
        <v>467</v>
      </c>
      <c r="C1056" s="32"/>
      <c r="D1056" s="32">
        <v>1</v>
      </c>
      <c r="E1056" s="89"/>
      <c r="F1056" s="89"/>
      <c r="G1056" s="89"/>
      <c r="H1056" s="89">
        <f t="shared" si="218"/>
        <v>1</v>
      </c>
      <c r="I1056" s="89">
        <f t="shared" si="219"/>
        <v>1</v>
      </c>
      <c r="J1056" s="89"/>
      <c r="K1056" s="157"/>
      <c r="L1056" s="157"/>
      <c r="M1056" s="158"/>
      <c r="O1056" s="82">
        <f t="shared" si="206"/>
        <v>0</v>
      </c>
    </row>
    <row r="1057" spans="1:15" ht="18" customHeight="1" x14ac:dyDescent="0.2">
      <c r="A1057" s="56" t="s">
        <v>236</v>
      </c>
      <c r="B1057" s="39" t="s">
        <v>317</v>
      </c>
      <c r="C1057" s="32" t="s">
        <v>76</v>
      </c>
      <c r="D1057" s="41"/>
      <c r="E1057" s="90"/>
      <c r="F1057" s="90"/>
      <c r="G1057" s="90"/>
      <c r="H1057" s="89">
        <f t="shared" si="214"/>
        <v>0</v>
      </c>
      <c r="I1057" s="89">
        <f t="shared" ref="I1057" si="220">H1057</f>
        <v>0</v>
      </c>
      <c r="J1057" s="90">
        <f>SUM(I1058:I1061)</f>
        <v>2</v>
      </c>
      <c r="K1057" s="157">
        <v>2</v>
      </c>
      <c r="L1057" s="157">
        <v>110</v>
      </c>
      <c r="M1057" s="158">
        <f t="shared" si="199"/>
        <v>220</v>
      </c>
      <c r="N1057" s="34"/>
      <c r="O1057" s="82">
        <f t="shared" si="206"/>
        <v>0</v>
      </c>
    </row>
    <row r="1058" spans="1:15" s="5" customFormat="1" ht="16.149999999999999" customHeight="1" x14ac:dyDescent="0.2">
      <c r="A1058" s="30"/>
      <c r="B1058" s="98" t="s">
        <v>464</v>
      </c>
      <c r="C1058" s="32"/>
      <c r="D1058" s="32">
        <v>1</v>
      </c>
      <c r="E1058" s="89"/>
      <c r="F1058" s="89"/>
      <c r="G1058" s="89"/>
      <c r="H1058" s="89">
        <f t="shared" si="214"/>
        <v>1</v>
      </c>
      <c r="I1058" s="89">
        <f>H1058</f>
        <v>1</v>
      </c>
      <c r="K1058" s="157"/>
      <c r="L1058" s="157"/>
      <c r="M1058" s="158"/>
      <c r="O1058" s="82">
        <f t="shared" si="206"/>
        <v>0</v>
      </c>
    </row>
    <row r="1059" spans="1:15" s="5" customFormat="1" ht="16.149999999999999" customHeight="1" x14ac:dyDescent="0.2">
      <c r="A1059" s="30"/>
      <c r="B1059" s="98" t="s">
        <v>465</v>
      </c>
      <c r="C1059" s="32"/>
      <c r="D1059" s="32">
        <v>1</v>
      </c>
      <c r="E1059" s="89"/>
      <c r="F1059" s="89"/>
      <c r="G1059" s="89"/>
      <c r="H1059" s="89">
        <f t="shared" si="214"/>
        <v>1</v>
      </c>
      <c r="I1059" s="89">
        <f t="shared" ref="I1059:I1061" si="221">H1059</f>
        <v>1</v>
      </c>
      <c r="J1059" s="89"/>
      <c r="K1059" s="157"/>
      <c r="L1059" s="157"/>
      <c r="M1059" s="158"/>
      <c r="O1059" s="82">
        <f t="shared" si="206"/>
        <v>0</v>
      </c>
    </row>
    <row r="1060" spans="1:15" s="5" customFormat="1" ht="16.149999999999999" customHeight="1" x14ac:dyDescent="0.2">
      <c r="A1060" s="30"/>
      <c r="B1060" s="98" t="s">
        <v>466</v>
      </c>
      <c r="C1060" s="32"/>
      <c r="D1060" s="32"/>
      <c r="E1060" s="89"/>
      <c r="F1060" s="89"/>
      <c r="G1060" s="89"/>
      <c r="H1060" s="89">
        <f t="shared" si="214"/>
        <v>0</v>
      </c>
      <c r="I1060" s="89">
        <f t="shared" si="221"/>
        <v>0</v>
      </c>
      <c r="J1060" s="89"/>
      <c r="K1060" s="157"/>
      <c r="L1060" s="157"/>
      <c r="M1060" s="158"/>
      <c r="O1060" s="82">
        <f t="shared" si="206"/>
        <v>0</v>
      </c>
    </row>
    <row r="1061" spans="1:15" s="5" customFormat="1" ht="16.149999999999999" customHeight="1" x14ac:dyDescent="0.2">
      <c r="A1061" s="30"/>
      <c r="B1061" s="98" t="s">
        <v>467</v>
      </c>
      <c r="C1061" s="32"/>
      <c r="D1061" s="32"/>
      <c r="E1061" s="89"/>
      <c r="F1061" s="89"/>
      <c r="G1061" s="89"/>
      <c r="H1061" s="89">
        <f t="shared" si="214"/>
        <v>0</v>
      </c>
      <c r="I1061" s="89">
        <f t="shared" si="221"/>
        <v>0</v>
      </c>
      <c r="J1061" s="89"/>
      <c r="K1061" s="157"/>
      <c r="L1061" s="157"/>
      <c r="M1061" s="158"/>
      <c r="O1061" s="82">
        <f t="shared" si="206"/>
        <v>0</v>
      </c>
    </row>
    <row r="1062" spans="1:15" ht="18" customHeight="1" x14ac:dyDescent="0.2">
      <c r="A1062" s="56" t="s">
        <v>237</v>
      </c>
      <c r="B1062" s="39" t="s">
        <v>318</v>
      </c>
      <c r="C1062" s="32" t="s">
        <v>76</v>
      </c>
      <c r="D1062" s="41"/>
      <c r="E1062" s="90"/>
      <c r="F1062" s="90"/>
      <c r="G1062" s="90"/>
      <c r="H1062" s="89">
        <f t="shared" si="214"/>
        <v>0</v>
      </c>
      <c r="I1062" s="89">
        <f t="shared" ref="I1062" si="222">H1062</f>
        <v>0</v>
      </c>
      <c r="J1062" s="90">
        <f>SUM(I1063:I1066)</f>
        <v>2</v>
      </c>
      <c r="K1062" s="157">
        <v>2</v>
      </c>
      <c r="L1062" s="157">
        <v>100</v>
      </c>
      <c r="M1062" s="158">
        <f t="shared" si="199"/>
        <v>200</v>
      </c>
      <c r="N1062" s="34"/>
      <c r="O1062" s="82">
        <f t="shared" si="206"/>
        <v>0</v>
      </c>
    </row>
    <row r="1063" spans="1:15" s="5" customFormat="1" ht="16.149999999999999" customHeight="1" x14ac:dyDescent="0.2">
      <c r="A1063" s="30"/>
      <c r="B1063" s="98" t="s">
        <v>464</v>
      </c>
      <c r="C1063" s="32"/>
      <c r="D1063" s="32">
        <v>2</v>
      </c>
      <c r="E1063" s="89"/>
      <c r="F1063" s="89"/>
      <c r="G1063" s="89"/>
      <c r="H1063" s="89">
        <f t="shared" ref="H1063:H1066" si="223">PRODUCT(D1063:G1063)</f>
        <v>2</v>
      </c>
      <c r="I1063" s="89">
        <f>H1063</f>
        <v>2</v>
      </c>
      <c r="K1063" s="157"/>
      <c r="L1063" s="157"/>
      <c r="M1063" s="158"/>
      <c r="O1063" s="82">
        <f t="shared" si="206"/>
        <v>0</v>
      </c>
    </row>
    <row r="1064" spans="1:15" s="5" customFormat="1" ht="16.149999999999999" customHeight="1" x14ac:dyDescent="0.2">
      <c r="A1064" s="30"/>
      <c r="B1064" s="98" t="s">
        <v>465</v>
      </c>
      <c r="C1064" s="32"/>
      <c r="D1064" s="32"/>
      <c r="E1064" s="89"/>
      <c r="F1064" s="89"/>
      <c r="G1064" s="89"/>
      <c r="H1064" s="89">
        <f t="shared" si="223"/>
        <v>0</v>
      </c>
      <c r="I1064" s="89">
        <f t="shared" ref="I1064:I1066" si="224">H1064</f>
        <v>0</v>
      </c>
      <c r="J1064" s="89"/>
      <c r="K1064" s="157"/>
      <c r="L1064" s="157"/>
      <c r="M1064" s="158"/>
      <c r="O1064" s="82">
        <f t="shared" si="206"/>
        <v>0</v>
      </c>
    </row>
    <row r="1065" spans="1:15" s="5" customFormat="1" ht="16.149999999999999" customHeight="1" x14ac:dyDescent="0.2">
      <c r="A1065" s="30"/>
      <c r="B1065" s="98" t="s">
        <v>466</v>
      </c>
      <c r="C1065" s="32"/>
      <c r="D1065" s="32"/>
      <c r="E1065" s="89"/>
      <c r="F1065" s="89"/>
      <c r="G1065" s="89"/>
      <c r="H1065" s="89">
        <f t="shared" si="223"/>
        <v>0</v>
      </c>
      <c r="I1065" s="89">
        <f t="shared" si="224"/>
        <v>0</v>
      </c>
      <c r="J1065" s="89"/>
      <c r="K1065" s="157"/>
      <c r="L1065" s="157"/>
      <c r="M1065" s="158"/>
      <c r="O1065" s="82">
        <f t="shared" si="206"/>
        <v>0</v>
      </c>
    </row>
    <row r="1066" spans="1:15" s="5" customFormat="1" ht="16.149999999999999" customHeight="1" x14ac:dyDescent="0.2">
      <c r="A1066" s="30"/>
      <c r="B1066" s="98" t="s">
        <v>467</v>
      </c>
      <c r="C1066" s="32"/>
      <c r="D1066" s="32"/>
      <c r="E1066" s="89"/>
      <c r="F1066" s="89"/>
      <c r="G1066" s="89"/>
      <c r="H1066" s="89">
        <f t="shared" si="223"/>
        <v>0</v>
      </c>
      <c r="I1066" s="89">
        <f t="shared" si="224"/>
        <v>0</v>
      </c>
      <c r="J1066" s="89"/>
      <c r="K1066" s="157"/>
      <c r="L1066" s="157"/>
      <c r="M1066" s="158"/>
      <c r="O1066" s="82">
        <f t="shared" si="206"/>
        <v>0</v>
      </c>
    </row>
    <row r="1067" spans="1:15" ht="18" customHeight="1" x14ac:dyDescent="0.2">
      <c r="A1067" s="56" t="s">
        <v>238</v>
      </c>
      <c r="B1067" s="39" t="s">
        <v>294</v>
      </c>
      <c r="C1067" s="32" t="s">
        <v>76</v>
      </c>
      <c r="D1067" s="41"/>
      <c r="E1067" s="90"/>
      <c r="F1067" s="90"/>
      <c r="G1067" s="90"/>
      <c r="H1067" s="89">
        <f t="shared" si="214"/>
        <v>0</v>
      </c>
      <c r="I1067" s="89">
        <f t="shared" ref="I1067" si="225">H1067</f>
        <v>0</v>
      </c>
      <c r="J1067" s="90">
        <f>SUM(I1068:I1071)</f>
        <v>31</v>
      </c>
      <c r="K1067" s="157">
        <v>31</v>
      </c>
      <c r="L1067" s="157">
        <v>60</v>
      </c>
      <c r="M1067" s="158">
        <f t="shared" si="199"/>
        <v>1860</v>
      </c>
      <c r="N1067" s="34"/>
      <c r="O1067" s="82">
        <f t="shared" si="206"/>
        <v>0</v>
      </c>
    </row>
    <row r="1068" spans="1:15" s="5" customFormat="1" ht="16.149999999999999" customHeight="1" x14ac:dyDescent="0.2">
      <c r="A1068" s="30"/>
      <c r="B1068" s="98" t="s">
        <v>464</v>
      </c>
      <c r="C1068" s="32"/>
      <c r="D1068" s="32">
        <f>4*4+2*2</f>
        <v>20</v>
      </c>
      <c r="E1068" s="89"/>
      <c r="F1068" s="89"/>
      <c r="G1068" s="89"/>
      <c r="H1068" s="89">
        <f t="shared" si="214"/>
        <v>20</v>
      </c>
      <c r="I1068" s="89">
        <f>H1068</f>
        <v>20</v>
      </c>
      <c r="K1068" s="157"/>
      <c r="L1068" s="157"/>
      <c r="M1068" s="158"/>
      <c r="O1068" s="82">
        <f t="shared" si="206"/>
        <v>0</v>
      </c>
    </row>
    <row r="1069" spans="1:15" s="5" customFormat="1" ht="16.149999999999999" customHeight="1" x14ac:dyDescent="0.2">
      <c r="A1069" s="30"/>
      <c r="B1069" s="98" t="s">
        <v>465</v>
      </c>
      <c r="C1069" s="32"/>
      <c r="D1069" s="32">
        <v>6</v>
      </c>
      <c r="E1069" s="89"/>
      <c r="F1069" s="89"/>
      <c r="G1069" s="89"/>
      <c r="H1069" s="89">
        <f t="shared" si="214"/>
        <v>6</v>
      </c>
      <c r="I1069" s="89">
        <f t="shared" ref="I1069:I1071" si="226">H1069</f>
        <v>6</v>
      </c>
      <c r="J1069" s="89"/>
      <c r="K1069" s="157"/>
      <c r="L1069" s="157"/>
      <c r="M1069" s="158"/>
      <c r="O1069" s="82">
        <f t="shared" si="206"/>
        <v>0</v>
      </c>
    </row>
    <row r="1070" spans="1:15" s="5" customFormat="1" ht="16.149999999999999" customHeight="1" x14ac:dyDescent="0.2">
      <c r="A1070" s="30"/>
      <c r="B1070" s="98" t="s">
        <v>466</v>
      </c>
      <c r="C1070" s="32"/>
      <c r="D1070" s="32">
        <v>4</v>
      </c>
      <c r="E1070" s="89"/>
      <c r="F1070" s="89"/>
      <c r="G1070" s="89"/>
      <c r="H1070" s="89">
        <f t="shared" si="214"/>
        <v>4</v>
      </c>
      <c r="I1070" s="89">
        <f t="shared" si="226"/>
        <v>4</v>
      </c>
      <c r="J1070" s="89"/>
      <c r="K1070" s="157"/>
      <c r="L1070" s="157"/>
      <c r="M1070" s="158"/>
      <c r="O1070" s="82">
        <f t="shared" si="206"/>
        <v>0</v>
      </c>
    </row>
    <row r="1071" spans="1:15" s="5" customFormat="1" ht="16.149999999999999" customHeight="1" x14ac:dyDescent="0.2">
      <c r="A1071" s="30"/>
      <c r="B1071" s="98" t="s">
        <v>467</v>
      </c>
      <c r="C1071" s="32"/>
      <c r="D1071" s="32">
        <v>1</v>
      </c>
      <c r="E1071" s="89"/>
      <c r="F1071" s="89"/>
      <c r="G1071" s="89"/>
      <c r="H1071" s="89">
        <f t="shared" si="214"/>
        <v>1</v>
      </c>
      <c r="I1071" s="89">
        <f t="shared" si="226"/>
        <v>1</v>
      </c>
      <c r="J1071" s="89"/>
      <c r="K1071" s="157"/>
      <c r="L1071" s="157"/>
      <c r="M1071" s="158"/>
      <c r="O1071" s="82">
        <f t="shared" si="206"/>
        <v>0</v>
      </c>
    </row>
    <row r="1072" spans="1:15" s="5" customFormat="1" ht="16.149999999999999" customHeight="1" x14ac:dyDescent="0.2">
      <c r="A1072" s="30"/>
      <c r="B1072" s="36"/>
      <c r="C1072" s="32"/>
      <c r="D1072" s="32"/>
      <c r="E1072" s="120"/>
      <c r="F1072" s="120"/>
      <c r="G1072" s="120"/>
      <c r="H1072" s="120"/>
      <c r="I1072" s="120"/>
      <c r="J1072" s="120"/>
      <c r="K1072" s="157"/>
      <c r="L1072" s="157"/>
      <c r="M1072" s="158"/>
      <c r="O1072" s="82">
        <f t="shared" si="206"/>
        <v>0</v>
      </c>
    </row>
    <row r="1073" spans="1:15" ht="18" customHeight="1" x14ac:dyDescent="0.2">
      <c r="A1073" s="30"/>
      <c r="B1073" s="31" t="s">
        <v>239</v>
      </c>
      <c r="C1073" s="32"/>
      <c r="D1073" s="32"/>
      <c r="E1073" s="89"/>
      <c r="F1073" s="89"/>
      <c r="G1073" s="89"/>
      <c r="H1073" s="89"/>
      <c r="I1073" s="89"/>
      <c r="J1073" s="89"/>
      <c r="K1073" s="157"/>
      <c r="L1073" s="157"/>
      <c r="M1073" s="158"/>
      <c r="N1073" s="34"/>
      <c r="O1073" s="82">
        <f t="shared" si="206"/>
        <v>0</v>
      </c>
    </row>
    <row r="1074" spans="1:15" ht="18" customHeight="1" x14ac:dyDescent="0.2">
      <c r="A1074" s="56" t="s">
        <v>240</v>
      </c>
      <c r="B1074" s="39" t="s">
        <v>280</v>
      </c>
      <c r="C1074" s="32" t="s">
        <v>76</v>
      </c>
      <c r="D1074" s="41"/>
      <c r="E1074" s="90"/>
      <c r="F1074" s="90"/>
      <c r="G1074" s="90"/>
      <c r="H1074" s="89">
        <f t="shared" ref="H1074:H1098" si="227">PRODUCT(D1074:G1074)</f>
        <v>0</v>
      </c>
      <c r="I1074" s="89">
        <f t="shared" ref="I1074" si="228">H1074</f>
        <v>0</v>
      </c>
      <c r="J1074" s="90">
        <f>SUM(I1075:I1078)</f>
        <v>35</v>
      </c>
      <c r="K1074" s="157">
        <v>35</v>
      </c>
      <c r="L1074" s="157">
        <v>90</v>
      </c>
      <c r="M1074" s="158">
        <f t="shared" si="199"/>
        <v>3150</v>
      </c>
      <c r="N1074" s="34"/>
      <c r="O1074" s="82">
        <f t="shared" si="206"/>
        <v>0</v>
      </c>
    </row>
    <row r="1075" spans="1:15" s="5" customFormat="1" ht="16.149999999999999" customHeight="1" x14ac:dyDescent="0.2">
      <c r="A1075" s="30"/>
      <c r="B1075" s="98" t="s">
        <v>464</v>
      </c>
      <c r="C1075" s="32"/>
      <c r="D1075" s="32">
        <f>4*3+14</f>
        <v>26</v>
      </c>
      <c r="E1075" s="89"/>
      <c r="F1075" s="89"/>
      <c r="G1075" s="89"/>
      <c r="H1075" s="89">
        <f t="shared" si="227"/>
        <v>26</v>
      </c>
      <c r="I1075" s="89">
        <f>H1075</f>
        <v>26</v>
      </c>
      <c r="K1075" s="157"/>
      <c r="L1075" s="157"/>
      <c r="M1075" s="158"/>
      <c r="O1075" s="82">
        <f t="shared" si="206"/>
        <v>0</v>
      </c>
    </row>
    <row r="1076" spans="1:15" s="5" customFormat="1" ht="16.149999999999999" customHeight="1" x14ac:dyDescent="0.2">
      <c r="A1076" s="30"/>
      <c r="B1076" s="98" t="s">
        <v>465</v>
      </c>
      <c r="C1076" s="32"/>
      <c r="D1076" s="32">
        <v>8</v>
      </c>
      <c r="E1076" s="89"/>
      <c r="F1076" s="89"/>
      <c r="G1076" s="89"/>
      <c r="H1076" s="89">
        <f t="shared" si="227"/>
        <v>8</v>
      </c>
      <c r="I1076" s="89">
        <f t="shared" ref="I1076:I1078" si="229">H1076</f>
        <v>8</v>
      </c>
      <c r="J1076" s="89"/>
      <c r="K1076" s="157"/>
      <c r="L1076" s="157"/>
      <c r="M1076" s="158"/>
      <c r="O1076" s="82">
        <f t="shared" si="206"/>
        <v>0</v>
      </c>
    </row>
    <row r="1077" spans="1:15" s="5" customFormat="1" ht="16.149999999999999" customHeight="1" x14ac:dyDescent="0.2">
      <c r="A1077" s="30"/>
      <c r="B1077" s="98" t="s">
        <v>466</v>
      </c>
      <c r="C1077" s="32"/>
      <c r="D1077" s="32"/>
      <c r="E1077" s="89"/>
      <c r="F1077" s="89"/>
      <c r="G1077" s="89"/>
      <c r="H1077" s="89">
        <f t="shared" si="227"/>
        <v>0</v>
      </c>
      <c r="I1077" s="89">
        <f t="shared" si="229"/>
        <v>0</v>
      </c>
      <c r="J1077" s="89"/>
      <c r="K1077" s="157"/>
      <c r="L1077" s="157"/>
      <c r="M1077" s="158"/>
      <c r="O1077" s="82">
        <f t="shared" si="206"/>
        <v>0</v>
      </c>
    </row>
    <row r="1078" spans="1:15" s="5" customFormat="1" ht="16.149999999999999" customHeight="1" x14ac:dyDescent="0.2">
      <c r="A1078" s="30"/>
      <c r="B1078" s="98" t="s">
        <v>467</v>
      </c>
      <c r="C1078" s="32"/>
      <c r="D1078" s="32">
        <v>1</v>
      </c>
      <c r="E1078" s="89"/>
      <c r="F1078" s="89"/>
      <c r="G1078" s="89"/>
      <c r="H1078" s="89">
        <f t="shared" si="227"/>
        <v>1</v>
      </c>
      <c r="I1078" s="89">
        <f t="shared" si="229"/>
        <v>1</v>
      </c>
      <c r="J1078" s="89"/>
      <c r="K1078" s="157"/>
      <c r="L1078" s="157"/>
      <c r="M1078" s="158"/>
      <c r="O1078" s="82">
        <f t="shared" si="206"/>
        <v>0</v>
      </c>
    </row>
    <row r="1079" spans="1:15" s="5" customFormat="1" ht="16.149999999999999" customHeight="1" x14ac:dyDescent="0.2">
      <c r="A1079" s="30"/>
      <c r="B1079" s="36"/>
      <c r="C1079" s="32"/>
      <c r="D1079" s="32"/>
      <c r="E1079" s="120"/>
      <c r="F1079" s="120"/>
      <c r="G1079" s="120"/>
      <c r="H1079" s="120"/>
      <c r="I1079" s="120"/>
      <c r="J1079" s="120"/>
      <c r="K1079" s="157"/>
      <c r="L1079" s="157"/>
      <c r="M1079" s="158"/>
      <c r="O1079" s="82">
        <f t="shared" si="206"/>
        <v>0</v>
      </c>
    </row>
    <row r="1080" spans="1:15" ht="18" customHeight="1" x14ac:dyDescent="0.2">
      <c r="A1080" s="56" t="s">
        <v>242</v>
      </c>
      <c r="B1080" s="39" t="s">
        <v>281</v>
      </c>
      <c r="C1080" s="32" t="s">
        <v>76</v>
      </c>
      <c r="D1080" s="41"/>
      <c r="E1080" s="90"/>
      <c r="F1080" s="90"/>
      <c r="G1080" s="90"/>
      <c r="H1080" s="89">
        <f t="shared" si="227"/>
        <v>0</v>
      </c>
      <c r="I1080" s="89">
        <f t="shared" ref="I1080" si="230">H1080</f>
        <v>0</v>
      </c>
      <c r="J1080" s="90">
        <f>SUM(I1080:I1084)</f>
        <v>2</v>
      </c>
      <c r="K1080" s="157">
        <v>2</v>
      </c>
      <c r="L1080" s="157">
        <v>110</v>
      </c>
      <c r="M1080" s="158">
        <f t="shared" si="199"/>
        <v>220</v>
      </c>
      <c r="N1080" s="34"/>
      <c r="O1080" s="82">
        <f t="shared" si="206"/>
        <v>0</v>
      </c>
    </row>
    <row r="1081" spans="1:15" s="5" customFormat="1" ht="16.149999999999999" customHeight="1" x14ac:dyDescent="0.2">
      <c r="A1081" s="30"/>
      <c r="B1081" s="98" t="s">
        <v>464</v>
      </c>
      <c r="C1081" s="32"/>
      <c r="D1081" s="32"/>
      <c r="E1081" s="89"/>
      <c r="F1081" s="89"/>
      <c r="G1081" s="89"/>
      <c r="H1081" s="89">
        <f t="shared" si="227"/>
        <v>0</v>
      </c>
      <c r="I1081" s="89">
        <f>H1081</f>
        <v>0</v>
      </c>
      <c r="K1081" s="157"/>
      <c r="L1081" s="157"/>
      <c r="M1081" s="158"/>
      <c r="O1081" s="82">
        <f t="shared" si="206"/>
        <v>0</v>
      </c>
    </row>
    <row r="1082" spans="1:15" s="5" customFormat="1" ht="16.149999999999999" customHeight="1" x14ac:dyDescent="0.2">
      <c r="A1082" s="30"/>
      <c r="B1082" s="98" t="s">
        <v>465</v>
      </c>
      <c r="C1082" s="32"/>
      <c r="D1082" s="32">
        <v>2</v>
      </c>
      <c r="E1082" s="89"/>
      <c r="F1082" s="89"/>
      <c r="G1082" s="89"/>
      <c r="H1082" s="89">
        <f t="shared" si="227"/>
        <v>2</v>
      </c>
      <c r="I1082" s="89">
        <f t="shared" ref="I1082:I1084" si="231">H1082</f>
        <v>2</v>
      </c>
      <c r="J1082" s="89"/>
      <c r="K1082" s="157"/>
      <c r="L1082" s="157"/>
      <c r="M1082" s="158"/>
      <c r="O1082" s="82">
        <f t="shared" si="206"/>
        <v>0</v>
      </c>
    </row>
    <row r="1083" spans="1:15" s="5" customFormat="1" ht="16.149999999999999" customHeight="1" x14ac:dyDescent="0.2">
      <c r="A1083" s="30"/>
      <c r="B1083" s="98" t="s">
        <v>466</v>
      </c>
      <c r="C1083" s="32"/>
      <c r="D1083" s="32"/>
      <c r="E1083" s="89"/>
      <c r="F1083" s="89"/>
      <c r="G1083" s="89"/>
      <c r="H1083" s="89">
        <f t="shared" si="227"/>
        <v>0</v>
      </c>
      <c r="I1083" s="89">
        <f t="shared" si="231"/>
        <v>0</v>
      </c>
      <c r="J1083" s="89"/>
      <c r="K1083" s="157"/>
      <c r="L1083" s="157"/>
      <c r="M1083" s="158"/>
      <c r="O1083" s="82">
        <f t="shared" si="206"/>
        <v>0</v>
      </c>
    </row>
    <row r="1084" spans="1:15" s="5" customFormat="1" ht="16.149999999999999" customHeight="1" x14ac:dyDescent="0.2">
      <c r="A1084" s="30"/>
      <c r="B1084" s="98" t="s">
        <v>467</v>
      </c>
      <c r="C1084" s="32"/>
      <c r="D1084" s="32"/>
      <c r="E1084" s="89"/>
      <c r="F1084" s="89"/>
      <c r="G1084" s="89"/>
      <c r="H1084" s="89">
        <f t="shared" si="227"/>
        <v>0</v>
      </c>
      <c r="I1084" s="89">
        <f t="shared" si="231"/>
        <v>0</v>
      </c>
      <c r="J1084" s="89"/>
      <c r="K1084" s="157"/>
      <c r="L1084" s="157"/>
      <c r="M1084" s="158"/>
      <c r="O1084" s="82">
        <f t="shared" si="206"/>
        <v>0</v>
      </c>
    </row>
    <row r="1085" spans="1:15" s="5" customFormat="1" ht="16.149999999999999" customHeight="1" x14ac:dyDescent="0.2">
      <c r="A1085" s="30"/>
      <c r="B1085" s="36"/>
      <c r="C1085" s="32"/>
      <c r="D1085" s="32"/>
      <c r="E1085" s="120"/>
      <c r="F1085" s="120"/>
      <c r="G1085" s="120"/>
      <c r="H1085" s="120"/>
      <c r="I1085" s="120"/>
      <c r="J1085" s="120"/>
      <c r="K1085" s="157"/>
      <c r="L1085" s="157"/>
      <c r="M1085" s="158"/>
      <c r="O1085" s="82">
        <f t="shared" si="206"/>
        <v>0</v>
      </c>
    </row>
    <row r="1086" spans="1:15" ht="18" customHeight="1" x14ac:dyDescent="0.2">
      <c r="A1086" s="56" t="s">
        <v>243</v>
      </c>
      <c r="B1086" s="39" t="s">
        <v>521</v>
      </c>
      <c r="C1086" s="32" t="s">
        <v>76</v>
      </c>
      <c r="D1086" s="41"/>
      <c r="E1086" s="90"/>
      <c r="F1086" s="90"/>
      <c r="G1086" s="90"/>
      <c r="H1086" s="89">
        <f t="shared" si="227"/>
        <v>0</v>
      </c>
      <c r="I1086" s="89">
        <f t="shared" ref="I1086" si="232">H1086</f>
        <v>0</v>
      </c>
      <c r="J1086" s="90">
        <f>SUM(I1087:I1090)</f>
        <v>1</v>
      </c>
      <c r="K1086" s="157">
        <v>1</v>
      </c>
      <c r="L1086" s="157">
        <v>110</v>
      </c>
      <c r="M1086" s="158">
        <f t="shared" si="199"/>
        <v>110</v>
      </c>
      <c r="N1086" s="34"/>
      <c r="O1086" s="82">
        <f t="shared" si="206"/>
        <v>0</v>
      </c>
    </row>
    <row r="1087" spans="1:15" s="5" customFormat="1" ht="16.149999999999999" customHeight="1" x14ac:dyDescent="0.2">
      <c r="A1087" s="30"/>
      <c r="B1087" s="98" t="s">
        <v>464</v>
      </c>
      <c r="C1087" s="32"/>
      <c r="D1087" s="32"/>
      <c r="E1087" s="89"/>
      <c r="F1087" s="89"/>
      <c r="G1087" s="89"/>
      <c r="H1087" s="89">
        <f t="shared" ref="H1087:H1090" si="233">PRODUCT(D1087:G1087)</f>
        <v>0</v>
      </c>
      <c r="I1087" s="89">
        <f>H1087</f>
        <v>0</v>
      </c>
      <c r="K1087" s="157"/>
      <c r="L1087" s="157"/>
      <c r="M1087" s="158"/>
      <c r="O1087" s="82">
        <f t="shared" si="206"/>
        <v>0</v>
      </c>
    </row>
    <row r="1088" spans="1:15" s="5" customFormat="1" ht="16.149999999999999" customHeight="1" x14ac:dyDescent="0.2">
      <c r="A1088" s="30"/>
      <c r="B1088" s="98" t="s">
        <v>465</v>
      </c>
      <c r="C1088" s="32"/>
      <c r="D1088" s="32">
        <v>1</v>
      </c>
      <c r="E1088" s="89"/>
      <c r="F1088" s="89"/>
      <c r="G1088" s="89"/>
      <c r="H1088" s="89">
        <f t="shared" si="233"/>
        <v>1</v>
      </c>
      <c r="I1088" s="89">
        <f t="shared" ref="I1088:I1090" si="234">H1088</f>
        <v>1</v>
      </c>
      <c r="J1088" s="89"/>
      <c r="K1088" s="157"/>
      <c r="L1088" s="157"/>
      <c r="M1088" s="158"/>
      <c r="O1088" s="82">
        <f t="shared" si="206"/>
        <v>0</v>
      </c>
    </row>
    <row r="1089" spans="1:15" s="5" customFormat="1" ht="16.149999999999999" customHeight="1" x14ac:dyDescent="0.2">
      <c r="A1089" s="30"/>
      <c r="B1089" s="98" t="s">
        <v>466</v>
      </c>
      <c r="C1089" s="32"/>
      <c r="D1089" s="32"/>
      <c r="E1089" s="89"/>
      <c r="F1089" s="89"/>
      <c r="G1089" s="89"/>
      <c r="H1089" s="89">
        <f t="shared" si="233"/>
        <v>0</v>
      </c>
      <c r="I1089" s="89">
        <f t="shared" si="234"/>
        <v>0</v>
      </c>
      <c r="J1089" s="89"/>
      <c r="K1089" s="157"/>
      <c r="L1089" s="157"/>
      <c r="M1089" s="158"/>
      <c r="O1089" s="82">
        <f t="shared" si="206"/>
        <v>0</v>
      </c>
    </row>
    <row r="1090" spans="1:15" s="5" customFormat="1" ht="16.149999999999999" customHeight="1" x14ac:dyDescent="0.2">
      <c r="A1090" s="30"/>
      <c r="B1090" s="98" t="s">
        <v>467</v>
      </c>
      <c r="C1090" s="32"/>
      <c r="D1090" s="32"/>
      <c r="E1090" s="89"/>
      <c r="F1090" s="89"/>
      <c r="G1090" s="89"/>
      <c r="H1090" s="89">
        <f t="shared" si="233"/>
        <v>0</v>
      </c>
      <c r="I1090" s="89">
        <f t="shared" si="234"/>
        <v>0</v>
      </c>
      <c r="J1090" s="89"/>
      <c r="K1090" s="157"/>
      <c r="L1090" s="157"/>
      <c r="M1090" s="158"/>
      <c r="O1090" s="82">
        <f t="shared" si="206"/>
        <v>0</v>
      </c>
    </row>
    <row r="1091" spans="1:15" s="5" customFormat="1" ht="16.149999999999999" customHeight="1" x14ac:dyDescent="0.2">
      <c r="A1091" s="30"/>
      <c r="B1091" s="36"/>
      <c r="C1091" s="32"/>
      <c r="D1091" s="32"/>
      <c r="E1091" s="120"/>
      <c r="F1091" s="120"/>
      <c r="G1091" s="120"/>
      <c r="H1091" s="120"/>
      <c r="I1091" s="120"/>
      <c r="J1091" s="120"/>
      <c r="K1091" s="157"/>
      <c r="L1091" s="157"/>
      <c r="M1091" s="158"/>
      <c r="O1091" s="82">
        <f t="shared" si="206"/>
        <v>0</v>
      </c>
    </row>
    <row r="1092" spans="1:15" s="83" customFormat="1" ht="18" customHeight="1" x14ac:dyDescent="0.2">
      <c r="A1092" s="56" t="s">
        <v>43</v>
      </c>
      <c r="B1092" s="55" t="s">
        <v>334</v>
      </c>
      <c r="C1092" s="59" t="s">
        <v>76</v>
      </c>
      <c r="D1092" s="41"/>
      <c r="E1092" s="90"/>
      <c r="F1092" s="90"/>
      <c r="G1092" s="90"/>
      <c r="H1092" s="89">
        <f t="shared" si="227"/>
        <v>0</v>
      </c>
      <c r="I1092" s="89">
        <f t="shared" ref="I1092" si="235">H1092</f>
        <v>0</v>
      </c>
      <c r="J1092" s="90">
        <f>SUM(I1093:I1096)</f>
        <v>1</v>
      </c>
      <c r="K1092" s="157">
        <v>1</v>
      </c>
      <c r="L1092" s="165">
        <v>2000</v>
      </c>
      <c r="M1092" s="158">
        <f t="shared" si="199"/>
        <v>2000</v>
      </c>
      <c r="N1092" s="60"/>
      <c r="O1092" s="82">
        <f t="shared" si="206"/>
        <v>0</v>
      </c>
    </row>
    <row r="1093" spans="1:15" s="5" customFormat="1" ht="16.149999999999999" customHeight="1" x14ac:dyDescent="0.2">
      <c r="A1093" s="30"/>
      <c r="B1093" s="98" t="s">
        <v>464</v>
      </c>
      <c r="C1093" s="32"/>
      <c r="D1093" s="32">
        <v>1</v>
      </c>
      <c r="E1093" s="89"/>
      <c r="F1093" s="89"/>
      <c r="G1093" s="89"/>
      <c r="H1093" s="89">
        <f t="shared" si="227"/>
        <v>1</v>
      </c>
      <c r="I1093" s="89">
        <f>H1093</f>
        <v>1</v>
      </c>
      <c r="K1093" s="157"/>
      <c r="L1093" s="157"/>
      <c r="M1093" s="158"/>
      <c r="O1093" s="82">
        <f t="shared" si="206"/>
        <v>0</v>
      </c>
    </row>
    <row r="1094" spans="1:15" s="5" customFormat="1" ht="16.149999999999999" customHeight="1" x14ac:dyDescent="0.2">
      <c r="A1094" s="30"/>
      <c r="B1094" s="98" t="s">
        <v>465</v>
      </c>
      <c r="C1094" s="32"/>
      <c r="D1094" s="32"/>
      <c r="E1094" s="89"/>
      <c r="F1094" s="89"/>
      <c r="G1094" s="89"/>
      <c r="H1094" s="89">
        <f t="shared" si="227"/>
        <v>0</v>
      </c>
      <c r="I1094" s="89">
        <f t="shared" ref="I1094:I1096" si="236">H1094</f>
        <v>0</v>
      </c>
      <c r="J1094" s="89"/>
      <c r="K1094" s="157"/>
      <c r="L1094" s="157"/>
      <c r="M1094" s="158"/>
      <c r="O1094" s="82">
        <f t="shared" ref="O1094:O1157" si="237">K1094-J1094</f>
        <v>0</v>
      </c>
    </row>
    <row r="1095" spans="1:15" s="5" customFormat="1" ht="16.149999999999999" customHeight="1" x14ac:dyDescent="0.2">
      <c r="A1095" s="30"/>
      <c r="B1095" s="98" t="s">
        <v>466</v>
      </c>
      <c r="C1095" s="32"/>
      <c r="D1095" s="32"/>
      <c r="E1095" s="89"/>
      <c r="F1095" s="89"/>
      <c r="G1095" s="89"/>
      <c r="H1095" s="89">
        <f t="shared" si="227"/>
        <v>0</v>
      </c>
      <c r="I1095" s="89">
        <f t="shared" si="236"/>
        <v>0</v>
      </c>
      <c r="J1095" s="89"/>
      <c r="K1095" s="157"/>
      <c r="L1095" s="157"/>
      <c r="M1095" s="158"/>
      <c r="O1095" s="82">
        <f t="shared" si="237"/>
        <v>0</v>
      </c>
    </row>
    <row r="1096" spans="1:15" s="5" customFormat="1" ht="16.149999999999999" customHeight="1" x14ac:dyDescent="0.2">
      <c r="A1096" s="30"/>
      <c r="B1096" s="98" t="s">
        <v>467</v>
      </c>
      <c r="C1096" s="32"/>
      <c r="D1096" s="32"/>
      <c r="E1096" s="89"/>
      <c r="F1096" s="89"/>
      <c r="G1096" s="89"/>
      <c r="H1096" s="89">
        <f t="shared" si="227"/>
        <v>0</v>
      </c>
      <c r="I1096" s="89">
        <f t="shared" si="236"/>
        <v>0</v>
      </c>
      <c r="J1096" s="89"/>
      <c r="K1096" s="157"/>
      <c r="L1096" s="157"/>
      <c r="M1096" s="158"/>
      <c r="O1096" s="82">
        <f t="shared" si="237"/>
        <v>0</v>
      </c>
    </row>
    <row r="1097" spans="1:15" s="5" customFormat="1" ht="16.149999999999999" customHeight="1" x14ac:dyDescent="0.2">
      <c r="A1097" s="30"/>
      <c r="B1097" s="36"/>
      <c r="C1097" s="32"/>
      <c r="D1097" s="32"/>
      <c r="E1097" s="120"/>
      <c r="F1097" s="120"/>
      <c r="G1097" s="120"/>
      <c r="H1097" s="120"/>
      <c r="I1097" s="120"/>
      <c r="J1097" s="120"/>
      <c r="K1097" s="157"/>
      <c r="L1097" s="157"/>
      <c r="M1097" s="158"/>
      <c r="O1097" s="82">
        <f t="shared" si="237"/>
        <v>0</v>
      </c>
    </row>
    <row r="1098" spans="1:15" ht="18" customHeight="1" x14ac:dyDescent="0.2">
      <c r="A1098" s="56" t="s">
        <v>345</v>
      </c>
      <c r="B1098" s="39" t="s">
        <v>356</v>
      </c>
      <c r="C1098" s="32" t="s">
        <v>76</v>
      </c>
      <c r="D1098" s="41"/>
      <c r="E1098" s="90"/>
      <c r="F1098" s="90"/>
      <c r="G1098" s="90"/>
      <c r="H1098" s="89">
        <f t="shared" si="227"/>
        <v>0</v>
      </c>
      <c r="I1098" s="89">
        <f t="shared" ref="I1098" si="238">H1098</f>
        <v>0</v>
      </c>
      <c r="J1098" s="90">
        <f>SUM(I1099:I1102)</f>
        <v>14</v>
      </c>
      <c r="K1098" s="157">
        <v>14</v>
      </c>
      <c r="L1098" s="157">
        <v>120</v>
      </c>
      <c r="M1098" s="158">
        <f t="shared" si="199"/>
        <v>1680</v>
      </c>
      <c r="N1098" s="34"/>
      <c r="O1098" s="82">
        <f t="shared" si="237"/>
        <v>0</v>
      </c>
    </row>
    <row r="1099" spans="1:15" s="5" customFormat="1" ht="16.149999999999999" customHeight="1" x14ac:dyDescent="0.2">
      <c r="A1099" s="30"/>
      <c r="B1099" s="98" t="s">
        <v>464</v>
      </c>
      <c r="C1099" s="32"/>
      <c r="D1099" s="32">
        <v>14</v>
      </c>
      <c r="E1099" s="89"/>
      <c r="F1099" s="89"/>
      <c r="G1099" s="89"/>
      <c r="H1099" s="89">
        <f t="shared" ref="H1099:H1102" si="239">PRODUCT(D1099:G1099)</f>
        <v>14</v>
      </c>
      <c r="I1099" s="89">
        <f>H1099</f>
        <v>14</v>
      </c>
      <c r="K1099" s="157"/>
      <c r="L1099" s="157"/>
      <c r="M1099" s="158"/>
      <c r="O1099" s="82">
        <f t="shared" si="237"/>
        <v>0</v>
      </c>
    </row>
    <row r="1100" spans="1:15" s="5" customFormat="1" ht="16.149999999999999" customHeight="1" x14ac:dyDescent="0.2">
      <c r="A1100" s="30"/>
      <c r="B1100" s="98" t="s">
        <v>465</v>
      </c>
      <c r="C1100" s="32"/>
      <c r="D1100" s="32"/>
      <c r="E1100" s="89"/>
      <c r="F1100" s="89"/>
      <c r="G1100" s="89"/>
      <c r="H1100" s="89">
        <f t="shared" si="239"/>
        <v>0</v>
      </c>
      <c r="I1100" s="89">
        <f t="shared" ref="I1100:I1102" si="240">H1100</f>
        <v>0</v>
      </c>
      <c r="J1100" s="89"/>
      <c r="K1100" s="157"/>
      <c r="L1100" s="157"/>
      <c r="M1100" s="158"/>
      <c r="O1100" s="82">
        <f t="shared" si="237"/>
        <v>0</v>
      </c>
    </row>
    <row r="1101" spans="1:15" s="5" customFormat="1" ht="16.149999999999999" customHeight="1" x14ac:dyDescent="0.2">
      <c r="A1101" s="30"/>
      <c r="B1101" s="98" t="s">
        <v>466</v>
      </c>
      <c r="C1101" s="32"/>
      <c r="D1101" s="32"/>
      <c r="E1101" s="89"/>
      <c r="F1101" s="89"/>
      <c r="G1101" s="89"/>
      <c r="H1101" s="89">
        <f t="shared" si="239"/>
        <v>0</v>
      </c>
      <c r="I1101" s="89">
        <f t="shared" si="240"/>
        <v>0</v>
      </c>
      <c r="J1101" s="89"/>
      <c r="K1101" s="157"/>
      <c r="L1101" s="157"/>
      <c r="M1101" s="158"/>
      <c r="O1101" s="82">
        <f t="shared" si="237"/>
        <v>0</v>
      </c>
    </row>
    <row r="1102" spans="1:15" s="5" customFormat="1" ht="16.149999999999999" customHeight="1" x14ac:dyDescent="0.2">
      <c r="A1102" s="30"/>
      <c r="B1102" s="98" t="s">
        <v>467</v>
      </c>
      <c r="C1102" s="32"/>
      <c r="D1102" s="32"/>
      <c r="E1102" s="89"/>
      <c r="F1102" s="89"/>
      <c r="G1102" s="89"/>
      <c r="H1102" s="89">
        <f t="shared" si="239"/>
        <v>0</v>
      </c>
      <c r="I1102" s="89">
        <f t="shared" si="240"/>
        <v>0</v>
      </c>
      <c r="J1102" s="89"/>
      <c r="K1102" s="157"/>
      <c r="L1102" s="157"/>
      <c r="M1102" s="158"/>
      <c r="O1102" s="82">
        <f t="shared" si="237"/>
        <v>0</v>
      </c>
    </row>
    <row r="1103" spans="1:15" s="5" customFormat="1" ht="16.149999999999999" customHeight="1" x14ac:dyDescent="0.2">
      <c r="A1103" s="30"/>
      <c r="B1103" s="36"/>
      <c r="C1103" s="32"/>
      <c r="D1103" s="32"/>
      <c r="E1103" s="120"/>
      <c r="F1103" s="120"/>
      <c r="G1103" s="120"/>
      <c r="H1103" s="120"/>
      <c r="I1103" s="120"/>
      <c r="J1103" s="120"/>
      <c r="K1103" s="157"/>
      <c r="L1103" s="157"/>
      <c r="M1103" s="158"/>
      <c r="O1103" s="82">
        <f t="shared" si="237"/>
        <v>0</v>
      </c>
    </row>
    <row r="1104" spans="1:15" ht="18" customHeight="1" x14ac:dyDescent="0.2">
      <c r="A1104" s="30"/>
      <c r="B1104" s="31" t="s">
        <v>244</v>
      </c>
      <c r="C1104" s="32"/>
      <c r="D1104" s="32"/>
      <c r="E1104" s="89"/>
      <c r="F1104" s="89"/>
      <c r="G1104" s="89"/>
      <c r="H1104" s="89"/>
      <c r="I1104" s="89"/>
      <c r="J1104" s="89"/>
      <c r="K1104" s="157"/>
      <c r="L1104" s="157"/>
      <c r="M1104" s="158"/>
      <c r="N1104" s="34"/>
      <c r="O1104" s="82">
        <f t="shared" si="237"/>
        <v>0</v>
      </c>
    </row>
    <row r="1105" spans="1:15" s="83" customFormat="1" ht="18" customHeight="1" x14ac:dyDescent="0.2">
      <c r="A1105" s="61" t="s">
        <v>15</v>
      </c>
      <c r="B1105" s="55" t="s">
        <v>332</v>
      </c>
      <c r="C1105" s="59" t="s">
        <v>76</v>
      </c>
      <c r="D1105" s="41"/>
      <c r="E1105" s="90"/>
      <c r="F1105" s="90"/>
      <c r="G1105" s="90"/>
      <c r="H1105" s="89"/>
      <c r="I1105" s="89"/>
      <c r="J1105" s="90">
        <f>SUM(I1106:I1109)</f>
        <v>6</v>
      </c>
      <c r="K1105" s="157">
        <v>6</v>
      </c>
      <c r="L1105" s="165">
        <v>90</v>
      </c>
      <c r="M1105" s="158">
        <f t="shared" si="199"/>
        <v>540</v>
      </c>
      <c r="N1105" s="60"/>
      <c r="O1105" s="82">
        <f t="shared" si="237"/>
        <v>0</v>
      </c>
    </row>
    <row r="1106" spans="1:15" s="5" customFormat="1" ht="16.149999999999999" customHeight="1" x14ac:dyDescent="0.2">
      <c r="A1106" s="30"/>
      <c r="B1106" s="98" t="s">
        <v>464</v>
      </c>
      <c r="C1106" s="32"/>
      <c r="D1106" s="32">
        <v>0</v>
      </c>
      <c r="E1106" s="89"/>
      <c r="F1106" s="89"/>
      <c r="G1106" s="89"/>
      <c r="H1106" s="89">
        <f t="shared" ref="H1106:H1127" si="241">PRODUCT(D1106:G1106)</f>
        <v>0</v>
      </c>
      <c r="I1106" s="89">
        <f>H1106</f>
        <v>0</v>
      </c>
      <c r="K1106" s="157"/>
      <c r="L1106" s="157"/>
      <c r="M1106" s="158"/>
      <c r="O1106" s="82">
        <f t="shared" si="237"/>
        <v>0</v>
      </c>
    </row>
    <row r="1107" spans="1:15" s="5" customFormat="1" ht="16.149999999999999" customHeight="1" x14ac:dyDescent="0.2">
      <c r="A1107" s="30"/>
      <c r="B1107" s="98" t="s">
        <v>465</v>
      </c>
      <c r="C1107" s="32"/>
      <c r="D1107" s="32">
        <v>5</v>
      </c>
      <c r="E1107" s="89"/>
      <c r="F1107" s="89"/>
      <c r="G1107" s="89"/>
      <c r="H1107" s="89">
        <f t="shared" si="241"/>
        <v>5</v>
      </c>
      <c r="I1107" s="89">
        <f t="shared" ref="I1107:I1109" si="242">H1107</f>
        <v>5</v>
      </c>
      <c r="J1107" s="89"/>
      <c r="K1107" s="157"/>
      <c r="L1107" s="157"/>
      <c r="M1107" s="158"/>
      <c r="O1107" s="82">
        <f t="shared" si="237"/>
        <v>0</v>
      </c>
    </row>
    <row r="1108" spans="1:15" s="5" customFormat="1" ht="16.149999999999999" customHeight="1" x14ac:dyDescent="0.2">
      <c r="A1108" s="30"/>
      <c r="B1108" s="98" t="s">
        <v>466</v>
      </c>
      <c r="C1108" s="32"/>
      <c r="D1108" s="32">
        <v>0</v>
      </c>
      <c r="E1108" s="89"/>
      <c r="F1108" s="89"/>
      <c r="G1108" s="89"/>
      <c r="H1108" s="89">
        <f t="shared" si="241"/>
        <v>0</v>
      </c>
      <c r="I1108" s="89">
        <f t="shared" si="242"/>
        <v>0</v>
      </c>
      <c r="J1108" s="89"/>
      <c r="K1108" s="157"/>
      <c r="L1108" s="157"/>
      <c r="M1108" s="158"/>
      <c r="O1108" s="82">
        <f t="shared" si="237"/>
        <v>0</v>
      </c>
    </row>
    <row r="1109" spans="1:15" s="5" customFormat="1" ht="16.149999999999999" customHeight="1" x14ac:dyDescent="0.2">
      <c r="A1109" s="30"/>
      <c r="B1109" s="98" t="s">
        <v>467</v>
      </c>
      <c r="C1109" s="32"/>
      <c r="D1109" s="32">
        <v>1</v>
      </c>
      <c r="E1109" s="89"/>
      <c r="F1109" s="89"/>
      <c r="G1109" s="89"/>
      <c r="H1109" s="89">
        <f t="shared" si="241"/>
        <v>1</v>
      </c>
      <c r="I1109" s="89">
        <f t="shared" si="242"/>
        <v>1</v>
      </c>
      <c r="J1109" s="89"/>
      <c r="K1109" s="157"/>
      <c r="L1109" s="157"/>
      <c r="M1109" s="158"/>
      <c r="O1109" s="82">
        <f t="shared" si="237"/>
        <v>0</v>
      </c>
    </row>
    <row r="1110" spans="1:15" s="83" customFormat="1" ht="18" customHeight="1" x14ac:dyDescent="0.2">
      <c r="A1110" s="61" t="s">
        <v>16</v>
      </c>
      <c r="B1110" s="55" t="s">
        <v>302</v>
      </c>
      <c r="C1110" s="59" t="s">
        <v>76</v>
      </c>
      <c r="D1110" s="41"/>
      <c r="E1110" s="90"/>
      <c r="F1110" s="90"/>
      <c r="G1110" s="90"/>
      <c r="H1110" s="89"/>
      <c r="I1110" s="89"/>
      <c r="J1110" s="90">
        <f>SUM(I1111:I1114)</f>
        <v>32</v>
      </c>
      <c r="K1110" s="157">
        <v>32</v>
      </c>
      <c r="L1110" s="165">
        <v>100</v>
      </c>
      <c r="M1110" s="158">
        <f t="shared" si="199"/>
        <v>3200</v>
      </c>
      <c r="N1110" s="60"/>
      <c r="O1110" s="82">
        <f t="shared" si="237"/>
        <v>0</v>
      </c>
    </row>
    <row r="1111" spans="1:15" s="5" customFormat="1" ht="16.149999999999999" customHeight="1" x14ac:dyDescent="0.2">
      <c r="A1111" s="30"/>
      <c r="B1111" s="98" t="s">
        <v>464</v>
      </c>
      <c r="C1111" s="32"/>
      <c r="D1111" s="32">
        <v>7</v>
      </c>
      <c r="E1111" s="89"/>
      <c r="F1111" s="89"/>
      <c r="G1111" s="89"/>
      <c r="H1111" s="89">
        <f t="shared" ref="H1111:H1114" si="243">PRODUCT(D1111:G1111)</f>
        <v>7</v>
      </c>
      <c r="I1111" s="89">
        <f>H1111</f>
        <v>7</v>
      </c>
      <c r="K1111" s="157"/>
      <c r="L1111" s="157"/>
      <c r="M1111" s="158"/>
      <c r="O1111" s="82">
        <f t="shared" si="237"/>
        <v>0</v>
      </c>
    </row>
    <row r="1112" spans="1:15" s="5" customFormat="1" ht="16.149999999999999" customHeight="1" x14ac:dyDescent="0.2">
      <c r="A1112" s="30"/>
      <c r="B1112" s="98" t="s">
        <v>465</v>
      </c>
      <c r="C1112" s="32"/>
      <c r="D1112" s="32">
        <v>4</v>
      </c>
      <c r="E1112" s="89"/>
      <c r="F1112" s="89"/>
      <c r="G1112" s="89"/>
      <c r="H1112" s="89">
        <f t="shared" si="243"/>
        <v>4</v>
      </c>
      <c r="I1112" s="89">
        <f t="shared" ref="I1112:I1114" si="244">H1112</f>
        <v>4</v>
      </c>
      <c r="J1112" s="89"/>
      <c r="K1112" s="157"/>
      <c r="L1112" s="157"/>
      <c r="M1112" s="158"/>
      <c r="O1112" s="82">
        <f t="shared" si="237"/>
        <v>0</v>
      </c>
    </row>
    <row r="1113" spans="1:15" s="5" customFormat="1" ht="16.149999999999999" customHeight="1" x14ac:dyDescent="0.2">
      <c r="A1113" s="30"/>
      <c r="B1113" s="98" t="s">
        <v>466</v>
      </c>
      <c r="C1113" s="32"/>
      <c r="D1113" s="32">
        <v>20</v>
      </c>
      <c r="E1113" s="89"/>
      <c r="F1113" s="89"/>
      <c r="G1113" s="89"/>
      <c r="H1113" s="89">
        <f t="shared" si="243"/>
        <v>20</v>
      </c>
      <c r="I1113" s="89">
        <f t="shared" si="244"/>
        <v>20</v>
      </c>
      <c r="J1113" s="89"/>
      <c r="K1113" s="157"/>
      <c r="L1113" s="157"/>
      <c r="M1113" s="158"/>
      <c r="O1113" s="82">
        <f t="shared" si="237"/>
        <v>0</v>
      </c>
    </row>
    <row r="1114" spans="1:15" s="5" customFormat="1" ht="16.149999999999999" customHeight="1" x14ac:dyDescent="0.2">
      <c r="A1114" s="30"/>
      <c r="B1114" s="98" t="s">
        <v>467</v>
      </c>
      <c r="C1114" s="32"/>
      <c r="D1114" s="32">
        <v>1</v>
      </c>
      <c r="E1114" s="89"/>
      <c r="F1114" s="89"/>
      <c r="G1114" s="89"/>
      <c r="H1114" s="89">
        <f t="shared" si="243"/>
        <v>1</v>
      </c>
      <c r="I1114" s="89">
        <f t="shared" si="244"/>
        <v>1</v>
      </c>
      <c r="J1114" s="89"/>
      <c r="K1114" s="157"/>
      <c r="L1114" s="157"/>
      <c r="M1114" s="158"/>
      <c r="O1114" s="82">
        <f t="shared" si="237"/>
        <v>0</v>
      </c>
    </row>
    <row r="1115" spans="1:15" s="83" customFormat="1" ht="18" customHeight="1" x14ac:dyDescent="0.2">
      <c r="A1115" s="61" t="s">
        <v>17</v>
      </c>
      <c r="B1115" s="55" t="s">
        <v>127</v>
      </c>
      <c r="C1115" s="59" t="s">
        <v>76</v>
      </c>
      <c r="D1115" s="41"/>
      <c r="E1115" s="90"/>
      <c r="F1115" s="90"/>
      <c r="G1115" s="90"/>
      <c r="H1115" s="89">
        <f t="shared" si="241"/>
        <v>0</v>
      </c>
      <c r="I1115" s="89">
        <f t="shared" ref="I1115" si="245">H1115</f>
        <v>0</v>
      </c>
      <c r="J1115" s="90">
        <f>SUM(I1116:I1119)</f>
        <v>32</v>
      </c>
      <c r="K1115" s="157">
        <v>32</v>
      </c>
      <c r="L1115" s="165">
        <v>300</v>
      </c>
      <c r="M1115" s="158">
        <f t="shared" si="199"/>
        <v>9600</v>
      </c>
      <c r="N1115" s="60"/>
      <c r="O1115" s="82">
        <f t="shared" si="237"/>
        <v>0</v>
      </c>
    </row>
    <row r="1116" spans="1:15" s="5" customFormat="1" ht="16.149999999999999" customHeight="1" x14ac:dyDescent="0.2">
      <c r="A1116" s="30"/>
      <c r="B1116" s="98" t="s">
        <v>464</v>
      </c>
      <c r="C1116" s="32"/>
      <c r="D1116" s="32">
        <f>6*4</f>
        <v>24</v>
      </c>
      <c r="E1116" s="89"/>
      <c r="F1116" s="89"/>
      <c r="G1116" s="89"/>
      <c r="H1116" s="89">
        <f t="shared" si="241"/>
        <v>24</v>
      </c>
      <c r="I1116" s="89">
        <f>H1116</f>
        <v>24</v>
      </c>
      <c r="K1116" s="157"/>
      <c r="L1116" s="157"/>
      <c r="M1116" s="158"/>
      <c r="O1116" s="82">
        <f t="shared" si="237"/>
        <v>0</v>
      </c>
    </row>
    <row r="1117" spans="1:15" s="5" customFormat="1" ht="16.149999999999999" customHeight="1" x14ac:dyDescent="0.2">
      <c r="A1117" s="30"/>
      <c r="B1117" s="98" t="s">
        <v>465</v>
      </c>
      <c r="C1117" s="32"/>
      <c r="D1117" s="32">
        <v>8</v>
      </c>
      <c r="E1117" s="89"/>
      <c r="F1117" s="89"/>
      <c r="G1117" s="89"/>
      <c r="H1117" s="89">
        <f t="shared" si="241"/>
        <v>8</v>
      </c>
      <c r="I1117" s="89">
        <f t="shared" ref="I1117:I1119" si="246">H1117</f>
        <v>8</v>
      </c>
      <c r="J1117" s="89"/>
      <c r="K1117" s="157"/>
      <c r="L1117" s="157"/>
      <c r="M1117" s="158"/>
      <c r="O1117" s="82">
        <f t="shared" si="237"/>
        <v>0</v>
      </c>
    </row>
    <row r="1118" spans="1:15" s="5" customFormat="1" ht="16.149999999999999" customHeight="1" x14ac:dyDescent="0.2">
      <c r="A1118" s="30"/>
      <c r="B1118" s="98" t="s">
        <v>466</v>
      </c>
      <c r="C1118" s="32"/>
      <c r="D1118" s="32"/>
      <c r="E1118" s="89"/>
      <c r="F1118" s="89"/>
      <c r="G1118" s="89"/>
      <c r="H1118" s="89">
        <f t="shared" si="241"/>
        <v>0</v>
      </c>
      <c r="I1118" s="89">
        <f t="shared" si="246"/>
        <v>0</v>
      </c>
      <c r="J1118" s="89"/>
      <c r="K1118" s="157"/>
      <c r="L1118" s="157"/>
      <c r="M1118" s="158"/>
      <c r="O1118" s="82">
        <f t="shared" si="237"/>
        <v>0</v>
      </c>
    </row>
    <row r="1119" spans="1:15" s="5" customFormat="1" ht="16.149999999999999" customHeight="1" x14ac:dyDescent="0.2">
      <c r="A1119" s="30"/>
      <c r="B1119" s="98" t="s">
        <v>467</v>
      </c>
      <c r="C1119" s="32"/>
      <c r="D1119" s="32"/>
      <c r="E1119" s="89"/>
      <c r="F1119" s="89"/>
      <c r="G1119" s="89"/>
      <c r="H1119" s="89">
        <f t="shared" si="241"/>
        <v>0</v>
      </c>
      <c r="I1119" s="89">
        <f t="shared" si="246"/>
        <v>0</v>
      </c>
      <c r="J1119" s="89"/>
      <c r="K1119" s="157"/>
      <c r="L1119" s="157"/>
      <c r="M1119" s="158"/>
      <c r="O1119" s="82">
        <f t="shared" si="237"/>
        <v>0</v>
      </c>
    </row>
    <row r="1120" spans="1:15" s="83" customFormat="1" ht="18" customHeight="1" x14ac:dyDescent="0.2">
      <c r="A1120" s="61" t="s">
        <v>73</v>
      </c>
      <c r="B1120" s="55" t="s">
        <v>303</v>
      </c>
      <c r="C1120" s="59" t="s">
        <v>76</v>
      </c>
      <c r="D1120" s="41"/>
      <c r="E1120" s="90"/>
      <c r="F1120" s="90"/>
      <c r="G1120" s="90"/>
      <c r="H1120" s="89"/>
      <c r="I1120" s="89"/>
      <c r="J1120" s="90">
        <f>SUM(I1121:I1124)</f>
        <v>15</v>
      </c>
      <c r="K1120" s="157">
        <v>15</v>
      </c>
      <c r="L1120" s="165">
        <v>300</v>
      </c>
      <c r="M1120" s="158">
        <f t="shared" si="199"/>
        <v>4500</v>
      </c>
      <c r="N1120" s="60"/>
      <c r="O1120" s="82">
        <f t="shared" si="237"/>
        <v>0</v>
      </c>
    </row>
    <row r="1121" spans="1:263" s="5" customFormat="1" ht="16.149999999999999" customHeight="1" x14ac:dyDescent="0.2">
      <c r="A1121" s="30"/>
      <c r="B1121" s="98" t="s">
        <v>464</v>
      </c>
      <c r="C1121" s="32"/>
      <c r="D1121" s="32">
        <v>5</v>
      </c>
      <c r="E1121" s="89"/>
      <c r="F1121" s="89"/>
      <c r="G1121" s="89"/>
      <c r="H1121" s="89">
        <f t="shared" ref="H1121:H1124" si="247">PRODUCT(D1121:G1121)</f>
        <v>5</v>
      </c>
      <c r="I1121" s="89">
        <f>H1121</f>
        <v>5</v>
      </c>
      <c r="K1121" s="157"/>
      <c r="L1121" s="157"/>
      <c r="M1121" s="158"/>
      <c r="O1121" s="82">
        <f t="shared" si="237"/>
        <v>0</v>
      </c>
    </row>
    <row r="1122" spans="1:263" s="5" customFormat="1" ht="16.149999999999999" customHeight="1" x14ac:dyDescent="0.2">
      <c r="A1122" s="30"/>
      <c r="B1122" s="98" t="s">
        <v>465</v>
      </c>
      <c r="C1122" s="32"/>
      <c r="D1122" s="32">
        <v>5</v>
      </c>
      <c r="E1122" s="89"/>
      <c r="F1122" s="89"/>
      <c r="G1122" s="89"/>
      <c r="H1122" s="89">
        <f t="shared" si="247"/>
        <v>5</v>
      </c>
      <c r="I1122" s="89">
        <f t="shared" ref="I1122:I1124" si="248">H1122</f>
        <v>5</v>
      </c>
      <c r="J1122" s="89"/>
      <c r="K1122" s="157"/>
      <c r="L1122" s="157"/>
      <c r="M1122" s="158"/>
      <c r="O1122" s="82">
        <f t="shared" si="237"/>
        <v>0</v>
      </c>
    </row>
    <row r="1123" spans="1:263" s="5" customFormat="1" ht="16.149999999999999" customHeight="1" x14ac:dyDescent="0.2">
      <c r="A1123" s="30"/>
      <c r="B1123" s="98" t="s">
        <v>466</v>
      </c>
      <c r="C1123" s="32"/>
      <c r="D1123" s="32">
        <v>4</v>
      </c>
      <c r="E1123" s="89"/>
      <c r="F1123" s="89"/>
      <c r="G1123" s="89"/>
      <c r="H1123" s="89">
        <f t="shared" si="247"/>
        <v>4</v>
      </c>
      <c r="I1123" s="89">
        <f t="shared" si="248"/>
        <v>4</v>
      </c>
      <c r="J1123" s="89"/>
      <c r="K1123" s="157"/>
      <c r="L1123" s="157"/>
      <c r="M1123" s="158"/>
      <c r="O1123" s="82">
        <f t="shared" si="237"/>
        <v>0</v>
      </c>
    </row>
    <row r="1124" spans="1:263" s="5" customFormat="1" ht="16.149999999999999" customHeight="1" x14ac:dyDescent="0.2">
      <c r="A1124" s="30"/>
      <c r="B1124" s="98" t="s">
        <v>467</v>
      </c>
      <c r="C1124" s="32"/>
      <c r="D1124" s="32">
        <v>1</v>
      </c>
      <c r="E1124" s="89"/>
      <c r="F1124" s="89"/>
      <c r="G1124" s="89"/>
      <c r="H1124" s="89">
        <f t="shared" si="247"/>
        <v>1</v>
      </c>
      <c r="I1124" s="89">
        <f t="shared" si="248"/>
        <v>1</v>
      </c>
      <c r="J1124" s="89"/>
      <c r="K1124" s="157"/>
      <c r="L1124" s="157"/>
      <c r="M1124" s="158"/>
      <c r="O1124" s="82">
        <f t="shared" si="237"/>
        <v>0</v>
      </c>
    </row>
    <row r="1125" spans="1:263" s="83" customFormat="1" ht="18" customHeight="1" x14ac:dyDescent="0.2">
      <c r="A1125" s="61"/>
      <c r="B1125" s="55"/>
      <c r="C1125" s="59"/>
      <c r="D1125" s="41"/>
      <c r="E1125" s="90"/>
      <c r="F1125" s="90"/>
      <c r="G1125" s="90"/>
      <c r="H1125" s="89"/>
      <c r="I1125" s="89"/>
      <c r="J1125" s="90"/>
      <c r="K1125" s="157"/>
      <c r="L1125" s="165"/>
      <c r="M1125" s="158"/>
      <c r="N1125" s="60"/>
      <c r="O1125" s="82">
        <f t="shared" si="237"/>
        <v>0</v>
      </c>
    </row>
    <row r="1126" spans="1:263" s="83" customFormat="1" ht="18" customHeight="1" x14ac:dyDescent="0.2">
      <c r="A1126" s="61" t="s">
        <v>38</v>
      </c>
      <c r="B1126" s="55" t="s">
        <v>357</v>
      </c>
      <c r="C1126" s="59" t="s">
        <v>76</v>
      </c>
      <c r="D1126" s="41"/>
      <c r="E1126" s="90"/>
      <c r="F1126" s="90"/>
      <c r="G1126" s="90"/>
      <c r="H1126" s="89"/>
      <c r="I1126" s="89"/>
      <c r="J1126" s="90">
        <f>SUM(I1126:I1127)</f>
        <v>1</v>
      </c>
      <c r="K1126" s="157">
        <v>1</v>
      </c>
      <c r="L1126" s="165">
        <v>700</v>
      </c>
      <c r="M1126" s="158">
        <f t="shared" si="199"/>
        <v>700</v>
      </c>
      <c r="N1126" s="60"/>
      <c r="O1126" s="82">
        <f t="shared" si="237"/>
        <v>0</v>
      </c>
    </row>
    <row r="1127" spans="1:263" s="5" customFormat="1" ht="16.149999999999999" customHeight="1" x14ac:dyDescent="0.2">
      <c r="A1127" s="30"/>
      <c r="B1127" s="98" t="s">
        <v>465</v>
      </c>
      <c r="C1127" s="32"/>
      <c r="D1127" s="32">
        <v>1</v>
      </c>
      <c r="E1127" s="89"/>
      <c r="F1127" s="89"/>
      <c r="G1127" s="89"/>
      <c r="H1127" s="89">
        <f t="shared" si="241"/>
        <v>1</v>
      </c>
      <c r="I1127" s="89">
        <f t="shared" ref="I1127:I1129" si="249">H1127</f>
        <v>1</v>
      </c>
      <c r="J1127" s="89"/>
      <c r="K1127" s="157"/>
      <c r="L1127" s="157"/>
      <c r="M1127" s="158"/>
      <c r="O1127" s="82">
        <f t="shared" si="237"/>
        <v>0</v>
      </c>
    </row>
    <row r="1128" spans="1:263" s="83" customFormat="1" ht="18" customHeight="1" x14ac:dyDescent="0.2">
      <c r="A1128" s="61" t="s">
        <v>346</v>
      </c>
      <c r="B1128" s="55" t="s">
        <v>283</v>
      </c>
      <c r="C1128" s="59" t="s">
        <v>76</v>
      </c>
      <c r="D1128" s="41"/>
      <c r="E1128" s="90"/>
      <c r="F1128" s="90"/>
      <c r="G1128" s="90"/>
      <c r="H1128" s="89"/>
      <c r="I1128" s="89"/>
      <c r="J1128" s="90">
        <f>+I1129</f>
        <v>6</v>
      </c>
      <c r="K1128" s="157">
        <v>6</v>
      </c>
      <c r="L1128" s="165">
        <v>700</v>
      </c>
      <c r="M1128" s="158">
        <f t="shared" si="199"/>
        <v>4200</v>
      </c>
      <c r="N1128" s="60"/>
      <c r="O1128" s="82">
        <f t="shared" si="237"/>
        <v>0</v>
      </c>
    </row>
    <row r="1129" spans="1:263" s="5" customFormat="1" ht="16.149999999999999" customHeight="1" x14ac:dyDescent="0.2">
      <c r="A1129" s="30"/>
      <c r="B1129" s="98" t="s">
        <v>522</v>
      </c>
      <c r="C1129" s="32"/>
      <c r="D1129" s="32">
        <v>6</v>
      </c>
      <c r="E1129" s="89"/>
      <c r="F1129" s="89"/>
      <c r="G1129" s="89"/>
      <c r="H1129" s="89">
        <f t="shared" ref="H1129" si="250">PRODUCT(D1129:G1129)</f>
        <v>6</v>
      </c>
      <c r="I1129" s="89">
        <f t="shared" si="249"/>
        <v>6</v>
      </c>
      <c r="J1129" s="89"/>
      <c r="K1129" s="157"/>
      <c r="L1129" s="157"/>
      <c r="M1129" s="158"/>
      <c r="O1129" s="82">
        <f t="shared" si="237"/>
        <v>0</v>
      </c>
    </row>
    <row r="1130" spans="1:263" s="83" customFormat="1" ht="18" customHeight="1" x14ac:dyDescent="0.2">
      <c r="A1130" s="61"/>
      <c r="B1130" s="55"/>
      <c r="C1130" s="59"/>
      <c r="D1130" s="41"/>
      <c r="E1130" s="90"/>
      <c r="F1130" s="90"/>
      <c r="G1130" s="90"/>
      <c r="H1130" s="89"/>
      <c r="I1130" s="89"/>
      <c r="J1130" s="90"/>
      <c r="K1130" s="157"/>
      <c r="L1130" s="165"/>
      <c r="M1130" s="158"/>
      <c r="N1130" s="60"/>
      <c r="O1130" s="82">
        <f t="shared" si="237"/>
        <v>0</v>
      </c>
    </row>
    <row r="1131" spans="1:263" ht="18" customHeight="1" x14ac:dyDescent="0.2">
      <c r="A1131" s="30"/>
      <c r="B1131" s="31" t="s">
        <v>245</v>
      </c>
      <c r="C1131" s="32"/>
      <c r="D1131" s="32"/>
      <c r="E1131" s="89"/>
      <c r="F1131" s="89"/>
      <c r="G1131" s="89"/>
      <c r="H1131" s="89"/>
      <c r="I1131" s="89"/>
      <c r="J1131" s="89"/>
      <c r="K1131" s="157"/>
      <c r="L1131" s="157"/>
      <c r="M1131" s="158"/>
      <c r="N1131" s="34"/>
      <c r="O1131" s="82">
        <f t="shared" si="237"/>
        <v>0</v>
      </c>
    </row>
    <row r="1132" spans="1:263" ht="18" customHeight="1" x14ac:dyDescent="0.2">
      <c r="A1132" s="56" t="s">
        <v>19</v>
      </c>
      <c r="B1132" s="39" t="s">
        <v>14</v>
      </c>
      <c r="C1132" s="32" t="s">
        <v>76</v>
      </c>
      <c r="D1132" s="41">
        <v>1</v>
      </c>
      <c r="E1132" s="90"/>
      <c r="F1132" s="90"/>
      <c r="G1132" s="90"/>
      <c r="H1132" s="89">
        <f t="shared" ref="H1132" si="251">PRODUCT(D1132:G1132)</f>
        <v>1</v>
      </c>
      <c r="I1132" s="89">
        <f t="shared" ref="I1132:J1132" si="252">H1132</f>
        <v>1</v>
      </c>
      <c r="J1132" s="90">
        <f t="shared" si="252"/>
        <v>1</v>
      </c>
      <c r="K1132" s="157">
        <v>1</v>
      </c>
      <c r="L1132" s="157">
        <v>1200</v>
      </c>
      <c r="M1132" s="158">
        <f t="shared" si="199"/>
        <v>1200</v>
      </c>
      <c r="N1132" s="34"/>
      <c r="O1132" s="82">
        <f t="shared" si="237"/>
        <v>0</v>
      </c>
    </row>
    <row r="1133" spans="1:263" s="5" customFormat="1" ht="17.100000000000001" customHeight="1" x14ac:dyDescent="0.2">
      <c r="A1133" s="250" t="s">
        <v>112</v>
      </c>
      <c r="B1133" s="251"/>
      <c r="C1133" s="251"/>
      <c r="D1133" s="251"/>
      <c r="E1133" s="251"/>
      <c r="F1133" s="251"/>
      <c r="G1133" s="251"/>
      <c r="H1133" s="251"/>
      <c r="I1133" s="251"/>
      <c r="J1133" s="251"/>
      <c r="K1133" s="251"/>
      <c r="L1133" s="252"/>
      <c r="M1133" s="159">
        <f>SUM(M1011:M1132)</f>
        <v>143160</v>
      </c>
      <c r="O1133" s="82">
        <f t="shared" si="237"/>
        <v>0</v>
      </c>
    </row>
    <row r="1134" spans="1:263" ht="17.100000000000001" customHeight="1" x14ac:dyDescent="0.2">
      <c r="A1134" s="24"/>
      <c r="B1134" s="25" t="s">
        <v>44</v>
      </c>
      <c r="C1134" s="32"/>
      <c r="D1134" s="32"/>
      <c r="E1134" s="89"/>
      <c r="F1134" s="89"/>
      <c r="G1134" s="89"/>
      <c r="H1134" s="89"/>
      <c r="I1134" s="89"/>
      <c r="J1134" s="89"/>
      <c r="K1134" s="157"/>
      <c r="L1134" s="157"/>
      <c r="M1134" s="158"/>
      <c r="O1134" s="82">
        <f t="shared" si="237"/>
        <v>0</v>
      </c>
    </row>
    <row r="1135" spans="1:263" ht="17.100000000000001" customHeight="1" x14ac:dyDescent="0.2">
      <c r="A1135" s="56"/>
      <c r="B1135" s="31" t="s">
        <v>20</v>
      </c>
      <c r="C1135" s="32"/>
      <c r="D1135" s="32"/>
      <c r="E1135" s="89"/>
      <c r="F1135" s="89"/>
      <c r="G1135" s="89"/>
      <c r="H1135" s="89"/>
      <c r="I1135" s="89"/>
      <c r="J1135" s="89"/>
      <c r="K1135" s="157"/>
      <c r="L1135" s="157"/>
      <c r="M1135" s="158"/>
      <c r="O1135" s="82">
        <f t="shared" si="237"/>
        <v>0</v>
      </c>
    </row>
    <row r="1136" spans="1:263" s="114" customFormat="1" ht="17.100000000000001" customHeight="1" x14ac:dyDescent="0.2">
      <c r="A1136" s="121" t="s">
        <v>21</v>
      </c>
      <c r="B1136" s="125" t="s">
        <v>284</v>
      </c>
      <c r="C1136" s="101" t="s">
        <v>76</v>
      </c>
      <c r="D1136" s="123">
        <v>1</v>
      </c>
      <c r="E1136" s="124"/>
      <c r="F1136" s="124"/>
      <c r="G1136" s="124"/>
      <c r="H1136" s="102">
        <f t="shared" ref="H1136:H1137" si="253">PRODUCT(D1136:G1136)</f>
        <v>1</v>
      </c>
      <c r="I1136" s="102">
        <f t="shared" ref="I1136:J1136" si="254">H1136</f>
        <v>1</v>
      </c>
      <c r="J1136" s="124">
        <f t="shared" si="254"/>
        <v>1</v>
      </c>
      <c r="K1136" s="157">
        <v>1</v>
      </c>
      <c r="L1136" s="157">
        <v>40000</v>
      </c>
      <c r="M1136" s="158">
        <f t="shared" ref="M1136:M1190" si="255">+L1136*K1136</f>
        <v>40000</v>
      </c>
      <c r="N1136" s="104"/>
      <c r="O1136" s="82">
        <f t="shared" si="237"/>
        <v>0</v>
      </c>
      <c r="P1136" s="104"/>
      <c r="Q1136" s="104"/>
      <c r="R1136" s="104"/>
      <c r="S1136" s="104"/>
      <c r="T1136" s="104"/>
      <c r="U1136" s="104"/>
      <c r="V1136" s="104"/>
      <c r="W1136" s="104"/>
      <c r="X1136" s="104"/>
      <c r="Y1136" s="104"/>
      <c r="Z1136" s="104"/>
      <c r="AA1136" s="104"/>
      <c r="AB1136" s="104"/>
      <c r="AC1136" s="104"/>
      <c r="AD1136" s="104"/>
      <c r="AE1136" s="104"/>
      <c r="AF1136" s="104"/>
      <c r="AG1136" s="104"/>
      <c r="AH1136" s="104"/>
      <c r="AI1136" s="104"/>
      <c r="AJ1136" s="104"/>
      <c r="AK1136" s="104"/>
      <c r="AL1136" s="104"/>
      <c r="AM1136" s="104"/>
      <c r="AN1136" s="104"/>
      <c r="AO1136" s="104"/>
      <c r="AP1136" s="104"/>
      <c r="AQ1136" s="104"/>
      <c r="AR1136" s="104"/>
      <c r="AS1136" s="104"/>
      <c r="AT1136" s="104"/>
      <c r="AU1136" s="104"/>
      <c r="AV1136" s="104"/>
      <c r="AW1136" s="104"/>
      <c r="AX1136" s="104"/>
      <c r="AY1136" s="104"/>
      <c r="AZ1136" s="104"/>
      <c r="BA1136" s="104"/>
      <c r="BB1136" s="104"/>
      <c r="BC1136" s="104"/>
      <c r="BD1136" s="104"/>
      <c r="BE1136" s="104"/>
      <c r="BF1136" s="104"/>
      <c r="BG1136" s="104"/>
      <c r="BH1136" s="104"/>
      <c r="BI1136" s="104"/>
      <c r="BJ1136" s="104"/>
      <c r="BK1136" s="104"/>
      <c r="BL1136" s="104"/>
      <c r="BM1136" s="104"/>
      <c r="BN1136" s="104"/>
      <c r="BO1136" s="104"/>
      <c r="BP1136" s="104"/>
      <c r="BQ1136" s="104"/>
      <c r="BR1136" s="104"/>
      <c r="BS1136" s="104"/>
      <c r="BT1136" s="104"/>
      <c r="BU1136" s="104"/>
      <c r="BV1136" s="104"/>
      <c r="BW1136" s="104"/>
      <c r="BX1136" s="104"/>
      <c r="BY1136" s="104"/>
      <c r="BZ1136" s="104"/>
      <c r="CA1136" s="104"/>
      <c r="CB1136" s="104"/>
      <c r="CC1136" s="104"/>
      <c r="CD1136" s="104"/>
      <c r="CE1136" s="104"/>
      <c r="CF1136" s="104"/>
      <c r="CG1136" s="104"/>
      <c r="CH1136" s="104"/>
      <c r="CI1136" s="104"/>
      <c r="CJ1136" s="104"/>
      <c r="CK1136" s="104"/>
      <c r="CL1136" s="104"/>
      <c r="CM1136" s="104"/>
      <c r="CN1136" s="104"/>
      <c r="CO1136" s="104"/>
      <c r="CP1136" s="104"/>
      <c r="CQ1136" s="104"/>
      <c r="CR1136" s="104"/>
      <c r="CS1136" s="104"/>
      <c r="CT1136" s="104"/>
      <c r="CU1136" s="104"/>
      <c r="CV1136" s="104"/>
      <c r="CW1136" s="104"/>
      <c r="CX1136" s="104"/>
      <c r="CY1136" s="104"/>
      <c r="CZ1136" s="104"/>
      <c r="DA1136" s="104"/>
      <c r="DB1136" s="104"/>
      <c r="DC1136" s="104"/>
      <c r="DD1136" s="104"/>
      <c r="DE1136" s="104"/>
      <c r="DF1136" s="104"/>
      <c r="DG1136" s="104"/>
      <c r="DH1136" s="104"/>
      <c r="DI1136" s="104"/>
      <c r="DJ1136" s="104"/>
      <c r="DK1136" s="104"/>
      <c r="DL1136" s="104"/>
      <c r="DM1136" s="104"/>
      <c r="DN1136" s="104"/>
      <c r="DO1136" s="104"/>
      <c r="DP1136" s="104"/>
      <c r="DQ1136" s="104"/>
      <c r="DR1136" s="104"/>
      <c r="DS1136" s="104"/>
      <c r="DT1136" s="104"/>
      <c r="DU1136" s="104"/>
      <c r="DV1136" s="104"/>
      <c r="DW1136" s="104"/>
      <c r="DX1136" s="104"/>
      <c r="DY1136" s="104"/>
      <c r="DZ1136" s="104"/>
      <c r="EA1136" s="104"/>
      <c r="EB1136" s="104"/>
      <c r="EC1136" s="104"/>
      <c r="ED1136" s="104"/>
      <c r="EE1136" s="104"/>
      <c r="EF1136" s="104"/>
      <c r="EG1136" s="104"/>
      <c r="EH1136" s="104"/>
      <c r="EI1136" s="104"/>
      <c r="EJ1136" s="104"/>
      <c r="EK1136" s="104"/>
      <c r="EL1136" s="104"/>
      <c r="EM1136" s="104"/>
      <c r="EN1136" s="104"/>
      <c r="EO1136" s="104"/>
      <c r="EP1136" s="104"/>
      <c r="EQ1136" s="104"/>
      <c r="ER1136" s="104"/>
      <c r="ES1136" s="104"/>
      <c r="ET1136" s="104"/>
      <c r="EU1136" s="104"/>
      <c r="EV1136" s="104"/>
      <c r="EW1136" s="104"/>
      <c r="EX1136" s="104"/>
      <c r="EY1136" s="104"/>
      <c r="EZ1136" s="104"/>
      <c r="FA1136" s="104"/>
      <c r="FB1136" s="104"/>
      <c r="FC1136" s="104"/>
      <c r="FD1136" s="104"/>
      <c r="FE1136" s="104"/>
      <c r="FF1136" s="104"/>
      <c r="FG1136" s="104"/>
      <c r="FH1136" s="104"/>
      <c r="FI1136" s="104"/>
      <c r="FJ1136" s="104"/>
      <c r="FK1136" s="104"/>
      <c r="FL1136" s="104"/>
      <c r="FM1136" s="104"/>
      <c r="FN1136" s="104"/>
      <c r="FO1136" s="104"/>
      <c r="FP1136" s="104"/>
      <c r="FQ1136" s="104"/>
      <c r="FR1136" s="104"/>
      <c r="FS1136" s="104"/>
      <c r="FT1136" s="104"/>
      <c r="FU1136" s="104"/>
      <c r="FV1136" s="104"/>
      <c r="FW1136" s="104"/>
      <c r="FX1136" s="104"/>
      <c r="FY1136" s="104"/>
      <c r="FZ1136" s="104"/>
      <c r="GA1136" s="104"/>
      <c r="GB1136" s="104"/>
      <c r="GC1136" s="104"/>
      <c r="GD1136" s="104"/>
      <c r="GE1136" s="104"/>
      <c r="GF1136" s="104"/>
      <c r="GG1136" s="104"/>
      <c r="GH1136" s="104"/>
      <c r="GI1136" s="104"/>
      <c r="GJ1136" s="104"/>
      <c r="GK1136" s="104"/>
      <c r="GL1136" s="104"/>
      <c r="GM1136" s="104"/>
      <c r="GN1136" s="104"/>
      <c r="GO1136" s="104"/>
      <c r="GP1136" s="104"/>
      <c r="GQ1136" s="104"/>
      <c r="GR1136" s="104"/>
      <c r="GS1136" s="104"/>
      <c r="GT1136" s="104"/>
      <c r="GU1136" s="104"/>
      <c r="GV1136" s="104"/>
      <c r="GW1136" s="104"/>
      <c r="GX1136" s="104"/>
      <c r="GY1136" s="104"/>
      <c r="GZ1136" s="104"/>
      <c r="HA1136" s="104"/>
      <c r="HB1136" s="104"/>
      <c r="HC1136" s="104"/>
      <c r="HD1136" s="104"/>
      <c r="HE1136" s="104"/>
      <c r="HF1136" s="104"/>
      <c r="HG1136" s="104"/>
      <c r="HH1136" s="104"/>
      <c r="HI1136" s="104"/>
      <c r="HJ1136" s="104"/>
      <c r="HK1136" s="104"/>
      <c r="HL1136" s="104"/>
      <c r="HM1136" s="104"/>
      <c r="HN1136" s="104"/>
      <c r="HO1136" s="104"/>
      <c r="HP1136" s="104"/>
      <c r="HQ1136" s="104"/>
      <c r="HR1136" s="104"/>
      <c r="HS1136" s="104"/>
      <c r="HT1136" s="104"/>
      <c r="HU1136" s="104"/>
      <c r="HV1136" s="104"/>
      <c r="HW1136" s="104"/>
      <c r="HX1136" s="104"/>
      <c r="HY1136" s="104"/>
      <c r="HZ1136" s="104"/>
      <c r="IA1136" s="104"/>
      <c r="IB1136" s="104"/>
      <c r="IC1136" s="104"/>
      <c r="ID1136" s="104"/>
      <c r="IE1136" s="104"/>
      <c r="IF1136" s="104"/>
      <c r="IG1136" s="104"/>
      <c r="IH1136" s="104"/>
      <c r="II1136" s="104"/>
      <c r="IJ1136" s="104"/>
      <c r="IK1136" s="104"/>
      <c r="IL1136" s="104"/>
      <c r="IM1136" s="104"/>
      <c r="IN1136" s="104"/>
      <c r="IO1136" s="104"/>
      <c r="IP1136" s="104"/>
      <c r="IQ1136" s="104"/>
      <c r="IR1136" s="104"/>
      <c r="IS1136" s="104"/>
      <c r="IT1136" s="104"/>
      <c r="IU1136" s="104"/>
      <c r="IV1136" s="104"/>
      <c r="IW1136" s="104"/>
      <c r="IX1136" s="104"/>
      <c r="IY1136" s="104"/>
      <c r="IZ1136" s="104"/>
      <c r="JA1136" s="104"/>
      <c r="JB1136" s="104"/>
      <c r="JC1136" s="104"/>
    </row>
    <row r="1137" spans="1:15" s="126" customFormat="1" ht="14.25" x14ac:dyDescent="0.2">
      <c r="A1137" s="121" t="s">
        <v>22</v>
      </c>
      <c r="B1137" s="125" t="s">
        <v>378</v>
      </c>
      <c r="C1137" s="101" t="s">
        <v>76</v>
      </c>
      <c r="D1137" s="123">
        <v>1</v>
      </c>
      <c r="E1137" s="124"/>
      <c r="F1137" s="124"/>
      <c r="G1137" s="124"/>
      <c r="H1137" s="102">
        <f t="shared" si="253"/>
        <v>1</v>
      </c>
      <c r="I1137" s="102">
        <f t="shared" ref="I1137:J1137" si="256">H1137</f>
        <v>1</v>
      </c>
      <c r="J1137" s="124">
        <f t="shared" si="256"/>
        <v>1</v>
      </c>
      <c r="K1137" s="157">
        <v>1</v>
      </c>
      <c r="L1137" s="157">
        <v>5100</v>
      </c>
      <c r="M1137" s="158">
        <f t="shared" si="255"/>
        <v>5100</v>
      </c>
      <c r="N1137" s="104"/>
      <c r="O1137" s="82">
        <f t="shared" si="237"/>
        <v>0</v>
      </c>
    </row>
    <row r="1138" spans="1:15" s="14" customFormat="1" ht="24" x14ac:dyDescent="0.2">
      <c r="A1138" s="56" t="s">
        <v>23</v>
      </c>
      <c r="B1138" s="47" t="s">
        <v>446</v>
      </c>
      <c r="C1138" s="32" t="s">
        <v>1</v>
      </c>
      <c r="D1138" s="41"/>
      <c r="E1138" s="90"/>
      <c r="F1138" s="90"/>
      <c r="G1138" s="90"/>
      <c r="H1138" s="89">
        <f>PRODUCT(D1138:G1138)</f>
        <v>0</v>
      </c>
      <c r="I1138" s="89">
        <f t="shared" ref="I1138:I1140" si="257">H1138</f>
        <v>0</v>
      </c>
      <c r="J1138" s="90">
        <f>SUM(I1139:I1140)</f>
        <v>58</v>
      </c>
      <c r="K1138" s="157">
        <v>60</v>
      </c>
      <c r="L1138" s="157">
        <v>65</v>
      </c>
      <c r="M1138" s="158">
        <f>+L1138*K1138</f>
        <v>3900</v>
      </c>
      <c r="N1138" s="5"/>
      <c r="O1138" s="82">
        <f t="shared" si="237"/>
        <v>2</v>
      </c>
    </row>
    <row r="1139" spans="1:15" s="5" customFormat="1" ht="16.149999999999999" customHeight="1" x14ac:dyDescent="0.2">
      <c r="A1139" s="30"/>
      <c r="B1139" s="98" t="s">
        <v>465</v>
      </c>
      <c r="C1139" s="32"/>
      <c r="D1139" s="32">
        <v>1</v>
      </c>
      <c r="E1139" s="89">
        <f>8+30</f>
        <v>38</v>
      </c>
      <c r="F1139" s="89"/>
      <c r="G1139" s="89"/>
      <c r="H1139" s="89">
        <f t="shared" ref="H1139:H1140" si="258">PRODUCT(D1139:G1139)</f>
        <v>38</v>
      </c>
      <c r="I1139" s="89">
        <f t="shared" si="257"/>
        <v>38</v>
      </c>
      <c r="J1139" s="89"/>
      <c r="K1139" s="157"/>
      <c r="L1139" s="157"/>
      <c r="M1139" s="158"/>
      <c r="O1139" s="82">
        <f t="shared" si="237"/>
        <v>0</v>
      </c>
    </row>
    <row r="1140" spans="1:15" s="5" customFormat="1" ht="16.149999999999999" customHeight="1" x14ac:dyDescent="0.2">
      <c r="A1140" s="30"/>
      <c r="B1140" s="98" t="s">
        <v>466</v>
      </c>
      <c r="C1140" s="32"/>
      <c r="D1140" s="32">
        <v>1</v>
      </c>
      <c r="E1140" s="89">
        <v>20</v>
      </c>
      <c r="F1140" s="89"/>
      <c r="G1140" s="89"/>
      <c r="H1140" s="89">
        <f t="shared" si="258"/>
        <v>20</v>
      </c>
      <c r="I1140" s="89">
        <f t="shared" si="257"/>
        <v>20</v>
      </c>
      <c r="J1140" s="89"/>
      <c r="K1140" s="157"/>
      <c r="L1140" s="157"/>
      <c r="M1140" s="158"/>
      <c r="O1140" s="82">
        <f t="shared" si="237"/>
        <v>0</v>
      </c>
    </row>
    <row r="1141" spans="1:15" ht="14.25" x14ac:dyDescent="0.2">
      <c r="A1141" s="56" t="s">
        <v>24</v>
      </c>
      <c r="B1141" s="39" t="s">
        <v>135</v>
      </c>
      <c r="C1141" s="32" t="s">
        <v>76</v>
      </c>
      <c r="D1141" s="41">
        <v>3</v>
      </c>
      <c r="E1141" s="90"/>
      <c r="F1141" s="90"/>
      <c r="G1141" s="90"/>
      <c r="H1141" s="89">
        <f t="shared" ref="H1141:H1142" si="259">PRODUCT(D1141:G1141)</f>
        <v>3</v>
      </c>
      <c r="I1141" s="89">
        <f t="shared" ref="I1141:J1142" si="260">H1141</f>
        <v>3</v>
      </c>
      <c r="J1141" s="90">
        <f t="shared" si="260"/>
        <v>3</v>
      </c>
      <c r="K1141" s="157">
        <v>3</v>
      </c>
      <c r="L1141" s="157">
        <v>300</v>
      </c>
      <c r="M1141" s="158">
        <f t="shared" si="255"/>
        <v>900</v>
      </c>
      <c r="O1141" s="82">
        <f t="shared" si="237"/>
        <v>0</v>
      </c>
    </row>
    <row r="1142" spans="1:15" ht="14.25" x14ac:dyDescent="0.2">
      <c r="A1142" s="56" t="s">
        <v>408</v>
      </c>
      <c r="B1142" s="39" t="s">
        <v>134</v>
      </c>
      <c r="C1142" s="32" t="s">
        <v>76</v>
      </c>
      <c r="D1142" s="41">
        <v>3</v>
      </c>
      <c r="E1142" s="90"/>
      <c r="F1142" s="90"/>
      <c r="G1142" s="90"/>
      <c r="H1142" s="89">
        <f t="shared" si="259"/>
        <v>3</v>
      </c>
      <c r="I1142" s="89">
        <f t="shared" si="260"/>
        <v>3</v>
      </c>
      <c r="J1142" s="90">
        <f t="shared" si="260"/>
        <v>3</v>
      </c>
      <c r="K1142" s="157">
        <v>3</v>
      </c>
      <c r="L1142" s="157">
        <v>150</v>
      </c>
      <c r="M1142" s="158">
        <f t="shared" si="255"/>
        <v>450</v>
      </c>
      <c r="O1142" s="82">
        <f t="shared" si="237"/>
        <v>0</v>
      </c>
    </row>
    <row r="1143" spans="1:15" ht="14.25" x14ac:dyDescent="0.2">
      <c r="A1143" s="56"/>
      <c r="B1143" s="31" t="s">
        <v>285</v>
      </c>
      <c r="C1143" s="32"/>
      <c r="D1143" s="32"/>
      <c r="E1143" s="89"/>
      <c r="F1143" s="89"/>
      <c r="G1143" s="89"/>
      <c r="H1143" s="89"/>
      <c r="I1143" s="89"/>
      <c r="J1143" s="89"/>
      <c r="K1143" s="157"/>
      <c r="L1143" s="157"/>
      <c r="M1143" s="158">
        <f t="shared" si="255"/>
        <v>0</v>
      </c>
      <c r="O1143" s="82">
        <f t="shared" si="237"/>
        <v>0</v>
      </c>
    </row>
    <row r="1144" spans="1:15" s="14" customFormat="1" ht="17.25" customHeight="1" x14ac:dyDescent="0.25">
      <c r="A1144" s="56" t="s">
        <v>25</v>
      </c>
      <c r="B1144" s="47" t="s">
        <v>524</v>
      </c>
      <c r="C1144" s="11"/>
      <c r="D1144" s="86"/>
      <c r="E1144" s="91"/>
      <c r="F1144" s="91"/>
      <c r="G1144" s="91"/>
      <c r="H1144" s="91"/>
      <c r="I1144" s="91"/>
      <c r="J1144" s="91"/>
      <c r="K1144" s="157"/>
      <c r="L1144" s="157"/>
      <c r="M1144" s="158">
        <f t="shared" si="255"/>
        <v>0</v>
      </c>
      <c r="N1144" s="5"/>
      <c r="O1144" s="82">
        <f t="shared" si="237"/>
        <v>0</v>
      </c>
    </row>
    <row r="1145" spans="1:15" s="14" customFormat="1" ht="15" x14ac:dyDescent="0.25">
      <c r="A1145" s="56"/>
      <c r="B1145" s="47" t="s">
        <v>612</v>
      </c>
      <c r="C1145" s="11" t="s">
        <v>76</v>
      </c>
      <c r="D1145" s="41">
        <v>2</v>
      </c>
      <c r="E1145" s="90"/>
      <c r="F1145" s="90"/>
      <c r="G1145" s="90"/>
      <c r="H1145" s="89">
        <f t="shared" ref="H1145" si="261">PRODUCT(D1145:G1145)</f>
        <v>2</v>
      </c>
      <c r="I1145" s="89">
        <f t="shared" ref="I1145:J1145" si="262">H1145</f>
        <v>2</v>
      </c>
      <c r="J1145" s="90">
        <f t="shared" si="262"/>
        <v>2</v>
      </c>
      <c r="K1145" s="157">
        <v>2</v>
      </c>
      <c r="L1145" s="157">
        <v>600</v>
      </c>
      <c r="M1145" s="158">
        <f t="shared" si="255"/>
        <v>1200</v>
      </c>
      <c r="N1145" s="5"/>
      <c r="O1145" s="82">
        <f t="shared" si="237"/>
        <v>0</v>
      </c>
    </row>
    <row r="1146" spans="1:15" s="14" customFormat="1" ht="15" customHeight="1" x14ac:dyDescent="0.2">
      <c r="A1146" s="56"/>
      <c r="B1146" s="47" t="s">
        <v>613</v>
      </c>
      <c r="C1146" s="32" t="s">
        <v>76</v>
      </c>
      <c r="D1146" s="41">
        <v>4</v>
      </c>
      <c r="E1146" s="90"/>
      <c r="F1146" s="90"/>
      <c r="G1146" s="90"/>
      <c r="H1146" s="89">
        <f>PRODUCT(D1146:G1146)</f>
        <v>4</v>
      </c>
      <c r="I1146" s="89">
        <f t="shared" ref="I1146:J1147" si="263">H1146</f>
        <v>4</v>
      </c>
      <c r="J1146" s="90">
        <f t="shared" si="263"/>
        <v>4</v>
      </c>
      <c r="K1146" s="157">
        <v>4</v>
      </c>
      <c r="L1146" s="157">
        <v>850</v>
      </c>
      <c r="M1146" s="158">
        <f>+L1146*K1146</f>
        <v>3400</v>
      </c>
      <c r="N1146" s="5"/>
      <c r="O1146" s="82">
        <f t="shared" si="237"/>
        <v>0</v>
      </c>
    </row>
    <row r="1147" spans="1:15" s="14" customFormat="1" ht="17.25" customHeight="1" x14ac:dyDescent="0.2">
      <c r="A1147" s="56" t="s">
        <v>25</v>
      </c>
      <c r="B1147" s="47" t="s">
        <v>523</v>
      </c>
      <c r="C1147" s="32" t="s">
        <v>76</v>
      </c>
      <c r="D1147" s="41">
        <v>5</v>
      </c>
      <c r="E1147" s="90"/>
      <c r="F1147" s="90"/>
      <c r="G1147" s="90"/>
      <c r="H1147" s="89">
        <f>PRODUCT(D1147:G1147)</f>
        <v>5</v>
      </c>
      <c r="I1147" s="89">
        <f t="shared" si="263"/>
        <v>5</v>
      </c>
      <c r="J1147" s="90">
        <f t="shared" si="263"/>
        <v>5</v>
      </c>
      <c r="K1147" s="157">
        <v>5</v>
      </c>
      <c r="L1147" s="157">
        <v>850</v>
      </c>
      <c r="M1147" s="158">
        <f>+L1147*K1147</f>
        <v>4250</v>
      </c>
      <c r="N1147" s="5"/>
      <c r="O1147" s="82">
        <f t="shared" si="237"/>
        <v>0</v>
      </c>
    </row>
    <row r="1148" spans="1:15" s="14" customFormat="1" ht="14.25" x14ac:dyDescent="0.2">
      <c r="A1148" s="56" t="s">
        <v>246</v>
      </c>
      <c r="B1148" s="47" t="s">
        <v>382</v>
      </c>
      <c r="C1148" s="32" t="s">
        <v>1</v>
      </c>
      <c r="D1148" s="41"/>
      <c r="E1148" s="90"/>
      <c r="F1148" s="90"/>
      <c r="G1148" s="90"/>
      <c r="H1148" s="89">
        <f t="shared" ref="H1148" si="264">PRODUCT(D1148:G1148)</f>
        <v>0</v>
      </c>
      <c r="I1148" s="89">
        <f t="shared" ref="I1148" si="265">H1148</f>
        <v>0</v>
      </c>
      <c r="J1148" s="90">
        <f>SUM(I1149:I1150)</f>
        <v>98</v>
      </c>
      <c r="K1148" s="157">
        <v>105</v>
      </c>
      <c r="L1148" s="157">
        <v>70</v>
      </c>
      <c r="M1148" s="158">
        <f t="shared" si="255"/>
        <v>7350</v>
      </c>
      <c r="N1148" s="5"/>
      <c r="O1148" s="82">
        <f t="shared" si="237"/>
        <v>7</v>
      </c>
    </row>
    <row r="1149" spans="1:15" s="5" customFormat="1" ht="16.149999999999999" customHeight="1" x14ac:dyDescent="0.2">
      <c r="A1149" s="30"/>
      <c r="B1149" s="98" t="s">
        <v>465</v>
      </c>
      <c r="C1149" s="32"/>
      <c r="D1149" s="32">
        <v>6</v>
      </c>
      <c r="E1149" s="89">
        <v>3</v>
      </c>
      <c r="F1149" s="89"/>
      <c r="G1149" s="89"/>
      <c r="H1149" s="89">
        <f t="shared" ref="H1149:H1150" si="266">PRODUCT(D1149:G1149)</f>
        <v>18</v>
      </c>
      <c r="I1149" s="89">
        <f>H1149</f>
        <v>18</v>
      </c>
      <c r="J1149" s="89"/>
      <c r="K1149" s="157"/>
      <c r="L1149" s="157"/>
      <c r="M1149" s="158"/>
      <c r="O1149" s="82">
        <f t="shared" si="237"/>
        <v>0</v>
      </c>
    </row>
    <row r="1150" spans="1:15" s="5" customFormat="1" ht="16.149999999999999" customHeight="1" x14ac:dyDescent="0.2">
      <c r="A1150" s="30"/>
      <c r="B1150" s="98" t="s">
        <v>466</v>
      </c>
      <c r="C1150" s="32"/>
      <c r="D1150" s="32">
        <f>5*4</f>
        <v>20</v>
      </c>
      <c r="E1150" s="89">
        <v>4</v>
      </c>
      <c r="F1150" s="89"/>
      <c r="G1150" s="89"/>
      <c r="H1150" s="89">
        <f t="shared" si="266"/>
        <v>80</v>
      </c>
      <c r="I1150" s="89">
        <f>H1150</f>
        <v>80</v>
      </c>
      <c r="J1150" s="89"/>
      <c r="K1150" s="157"/>
      <c r="L1150" s="157"/>
      <c r="M1150" s="158"/>
      <c r="O1150" s="82">
        <f t="shared" si="237"/>
        <v>0</v>
      </c>
    </row>
    <row r="1151" spans="1:15" s="14" customFormat="1" ht="14.25" x14ac:dyDescent="0.2">
      <c r="A1151" s="56" t="s">
        <v>33</v>
      </c>
      <c r="B1151" s="47" t="s">
        <v>295</v>
      </c>
      <c r="C1151" s="32" t="s">
        <v>1</v>
      </c>
      <c r="D1151" s="41">
        <v>1</v>
      </c>
      <c r="E1151" s="90">
        <v>20</v>
      </c>
      <c r="F1151" s="90"/>
      <c r="G1151" s="90"/>
      <c r="H1151" s="89">
        <f>PRODUCT(D1151:G1151)</f>
        <v>20</v>
      </c>
      <c r="I1151" s="89">
        <f t="shared" ref="I1151" si="267">H1151</f>
        <v>20</v>
      </c>
      <c r="J1151" s="90">
        <f>SUM(I1151:I1151)</f>
        <v>20</v>
      </c>
      <c r="K1151" s="157">
        <v>20</v>
      </c>
      <c r="L1151" s="157">
        <v>55</v>
      </c>
      <c r="M1151" s="158">
        <f>+L1151*K1151</f>
        <v>1100</v>
      </c>
      <c r="N1151" s="5"/>
      <c r="O1151" s="82">
        <f t="shared" si="237"/>
        <v>0</v>
      </c>
    </row>
    <row r="1152" spans="1:15" s="14" customFormat="1" ht="14.25" x14ac:dyDescent="0.2">
      <c r="A1152" s="56" t="s">
        <v>46</v>
      </c>
      <c r="B1152" s="47" t="s">
        <v>451</v>
      </c>
      <c r="C1152" s="32" t="s">
        <v>1</v>
      </c>
      <c r="D1152" s="41"/>
      <c r="E1152" s="90"/>
      <c r="F1152" s="90"/>
      <c r="G1152" s="90"/>
      <c r="H1152" s="89">
        <f>PRODUCT(D1152:G1152)</f>
        <v>0</v>
      </c>
      <c r="I1152" s="89">
        <f t="shared" ref="I1152" si="268">H1152</f>
        <v>0</v>
      </c>
      <c r="J1152" s="90">
        <f>SUM(I1153:I1156)</f>
        <v>50.449999999999996</v>
      </c>
      <c r="K1152" s="157">
        <v>60</v>
      </c>
      <c r="L1152" s="157">
        <v>100</v>
      </c>
      <c r="M1152" s="158">
        <f>+L1152*K1152</f>
        <v>6000</v>
      </c>
      <c r="N1152" s="5"/>
      <c r="O1152" s="82">
        <f t="shared" si="237"/>
        <v>9.5500000000000043</v>
      </c>
    </row>
    <row r="1153" spans="1:15" s="5" customFormat="1" ht="16.149999999999999" customHeight="1" x14ac:dyDescent="0.2">
      <c r="A1153" s="30"/>
      <c r="B1153" s="98" t="s">
        <v>464</v>
      </c>
      <c r="C1153" s="32"/>
      <c r="D1153" s="32">
        <v>3</v>
      </c>
      <c r="E1153" s="89">
        <f>3.35*2+4</f>
        <v>10.7</v>
      </c>
      <c r="F1153" s="89"/>
      <c r="G1153" s="89"/>
      <c r="H1153" s="89">
        <f t="shared" ref="H1153:H1156" si="269">PRODUCT(D1153:G1153)</f>
        <v>32.099999999999994</v>
      </c>
      <c r="I1153" s="89">
        <f>H1153</f>
        <v>32.099999999999994</v>
      </c>
      <c r="K1153" s="157"/>
      <c r="L1153" s="157"/>
      <c r="M1153" s="158"/>
      <c r="O1153" s="82">
        <f t="shared" si="237"/>
        <v>0</v>
      </c>
    </row>
    <row r="1154" spans="1:15" s="5" customFormat="1" ht="16.149999999999999" customHeight="1" x14ac:dyDescent="0.2">
      <c r="A1154" s="30"/>
      <c r="B1154" s="98" t="s">
        <v>465</v>
      </c>
      <c r="C1154" s="32"/>
      <c r="D1154" s="32">
        <v>2</v>
      </c>
      <c r="E1154" s="89">
        <f>3.35+0.4</f>
        <v>3.75</v>
      </c>
      <c r="F1154" s="89"/>
      <c r="G1154" s="89"/>
      <c r="H1154" s="89">
        <f t="shared" si="269"/>
        <v>7.5</v>
      </c>
      <c r="I1154" s="89">
        <f t="shared" ref="I1154:I1156" si="270">H1154</f>
        <v>7.5</v>
      </c>
      <c r="J1154" s="89"/>
      <c r="K1154" s="157"/>
      <c r="L1154" s="157"/>
      <c r="M1154" s="158"/>
      <c r="O1154" s="82">
        <f t="shared" si="237"/>
        <v>0</v>
      </c>
    </row>
    <row r="1155" spans="1:15" s="5" customFormat="1" ht="16.149999999999999" customHeight="1" x14ac:dyDescent="0.2">
      <c r="A1155" s="30"/>
      <c r="B1155" s="98" t="s">
        <v>466</v>
      </c>
      <c r="C1155" s="32"/>
      <c r="D1155" s="32">
        <v>2</v>
      </c>
      <c r="E1155" s="89">
        <f>3.35+0.4</f>
        <v>3.75</v>
      </c>
      <c r="F1155" s="89"/>
      <c r="G1155" s="89"/>
      <c r="H1155" s="89">
        <f t="shared" si="269"/>
        <v>7.5</v>
      </c>
      <c r="I1155" s="89">
        <f t="shared" si="270"/>
        <v>7.5</v>
      </c>
      <c r="J1155" s="89"/>
      <c r="K1155" s="157"/>
      <c r="L1155" s="157"/>
      <c r="M1155" s="158"/>
      <c r="O1155" s="82">
        <f t="shared" si="237"/>
        <v>0</v>
      </c>
    </row>
    <row r="1156" spans="1:15" s="5" customFormat="1" ht="16.149999999999999" customHeight="1" x14ac:dyDescent="0.2">
      <c r="A1156" s="30"/>
      <c r="B1156" s="98" t="s">
        <v>467</v>
      </c>
      <c r="C1156" s="32"/>
      <c r="D1156" s="32">
        <v>1</v>
      </c>
      <c r="E1156" s="89">
        <f>3.35</f>
        <v>3.35</v>
      </c>
      <c r="F1156" s="89"/>
      <c r="G1156" s="89"/>
      <c r="H1156" s="89">
        <f t="shared" si="269"/>
        <v>3.35</v>
      </c>
      <c r="I1156" s="89">
        <f t="shared" si="270"/>
        <v>3.35</v>
      </c>
      <c r="J1156" s="89"/>
      <c r="K1156" s="157"/>
      <c r="L1156" s="157"/>
      <c r="M1156" s="158"/>
      <c r="O1156" s="82">
        <f t="shared" si="237"/>
        <v>0</v>
      </c>
    </row>
    <row r="1157" spans="1:15" s="14" customFormat="1" ht="14.25" x14ac:dyDescent="0.2">
      <c r="A1157" s="56" t="s">
        <v>69</v>
      </c>
      <c r="B1157" s="47" t="s">
        <v>85</v>
      </c>
      <c r="C1157" s="32" t="s">
        <v>76</v>
      </c>
      <c r="D1157" s="41"/>
      <c r="E1157" s="90"/>
      <c r="F1157" s="90"/>
      <c r="G1157" s="90"/>
      <c r="H1157" s="89">
        <f t="shared" ref="H1157:H1164" si="271">PRODUCT(D1157:G1157)</f>
        <v>0</v>
      </c>
      <c r="I1157" s="89">
        <f t="shared" ref="I1157" si="272">H1157</f>
        <v>0</v>
      </c>
      <c r="J1157" s="90">
        <f>SUM(I1158:I1159)</f>
        <v>12</v>
      </c>
      <c r="K1157" s="157">
        <v>12</v>
      </c>
      <c r="L1157" s="157">
        <v>200</v>
      </c>
      <c r="M1157" s="158">
        <f t="shared" si="255"/>
        <v>2400</v>
      </c>
      <c r="N1157" s="5"/>
      <c r="O1157" s="82">
        <f t="shared" si="237"/>
        <v>0</v>
      </c>
    </row>
    <row r="1158" spans="1:15" s="5" customFormat="1" ht="16.149999999999999" customHeight="1" x14ac:dyDescent="0.2">
      <c r="A1158" s="30"/>
      <c r="B1158" s="98" t="s">
        <v>465</v>
      </c>
      <c r="C1158" s="32"/>
      <c r="D1158" s="32">
        <v>8</v>
      </c>
      <c r="E1158" s="89"/>
      <c r="F1158" s="89"/>
      <c r="G1158" s="89"/>
      <c r="H1158" s="89">
        <f t="shared" si="271"/>
        <v>8</v>
      </c>
      <c r="I1158" s="89">
        <f>H1158</f>
        <v>8</v>
      </c>
      <c r="J1158" s="89"/>
      <c r="K1158" s="157"/>
      <c r="L1158" s="157"/>
      <c r="M1158" s="158"/>
      <c r="O1158" s="82">
        <f t="shared" ref="O1158:O1221" si="273">K1158-J1158</f>
        <v>0</v>
      </c>
    </row>
    <row r="1159" spans="1:15" s="5" customFormat="1" ht="16.149999999999999" customHeight="1" x14ac:dyDescent="0.2">
      <c r="A1159" s="30"/>
      <c r="B1159" s="98" t="s">
        <v>466</v>
      </c>
      <c r="C1159" s="32"/>
      <c r="D1159" s="32">
        <v>4</v>
      </c>
      <c r="E1159" s="89"/>
      <c r="F1159" s="89"/>
      <c r="G1159" s="89"/>
      <c r="H1159" s="89">
        <f t="shared" si="271"/>
        <v>4</v>
      </c>
      <c r="I1159" s="89">
        <f>H1159</f>
        <v>4</v>
      </c>
      <c r="J1159" s="89"/>
      <c r="K1159" s="157"/>
      <c r="L1159" s="157"/>
      <c r="M1159" s="158"/>
      <c r="O1159" s="82">
        <f t="shared" si="273"/>
        <v>0</v>
      </c>
    </row>
    <row r="1160" spans="1:15" s="14" customFormat="1" ht="14.25" x14ac:dyDescent="0.2">
      <c r="A1160" s="56" t="s">
        <v>74</v>
      </c>
      <c r="B1160" s="47" t="s">
        <v>286</v>
      </c>
      <c r="C1160" s="32" t="s">
        <v>76</v>
      </c>
      <c r="D1160" s="41"/>
      <c r="E1160" s="90"/>
      <c r="F1160" s="90"/>
      <c r="G1160" s="90"/>
      <c r="H1160" s="89">
        <f t="shared" si="271"/>
        <v>0</v>
      </c>
      <c r="I1160" s="89">
        <f t="shared" ref="I1160:I1161" si="274">H1160</f>
        <v>0</v>
      </c>
      <c r="J1160" s="90">
        <f>SUM(I1161)</f>
        <v>12</v>
      </c>
      <c r="K1160" s="157">
        <v>12</v>
      </c>
      <c r="L1160" s="157">
        <v>150</v>
      </c>
      <c r="M1160" s="158">
        <f t="shared" si="255"/>
        <v>1800</v>
      </c>
      <c r="N1160" s="5"/>
      <c r="O1160" s="82">
        <f t="shared" si="273"/>
        <v>0</v>
      </c>
    </row>
    <row r="1161" spans="1:15" s="5" customFormat="1" ht="16.149999999999999" customHeight="1" x14ac:dyDescent="0.2">
      <c r="A1161" s="30"/>
      <c r="B1161" s="98" t="s">
        <v>466</v>
      </c>
      <c r="C1161" s="32"/>
      <c r="D1161" s="32">
        <v>12</v>
      </c>
      <c r="E1161" s="89"/>
      <c r="F1161" s="89"/>
      <c r="G1161" s="89"/>
      <c r="H1161" s="89">
        <f t="shared" si="271"/>
        <v>12</v>
      </c>
      <c r="I1161" s="89">
        <f t="shared" si="274"/>
        <v>12</v>
      </c>
      <c r="J1161" s="89"/>
      <c r="K1161" s="157"/>
      <c r="L1161" s="157"/>
      <c r="M1161" s="158"/>
      <c r="O1161" s="82">
        <f t="shared" si="273"/>
        <v>0</v>
      </c>
    </row>
    <row r="1162" spans="1:15" s="14" customFormat="1" ht="14.25" x14ac:dyDescent="0.2">
      <c r="A1162" s="56" t="s">
        <v>383</v>
      </c>
      <c r="B1162" s="39" t="s">
        <v>287</v>
      </c>
      <c r="C1162" s="32" t="s">
        <v>76</v>
      </c>
      <c r="D1162" s="41"/>
      <c r="E1162" s="90"/>
      <c r="F1162" s="90"/>
      <c r="G1162" s="90"/>
      <c r="H1162" s="89">
        <f t="shared" si="271"/>
        <v>0</v>
      </c>
      <c r="I1162" s="89">
        <f t="shared" ref="I1162:I1163" si="275">H1162</f>
        <v>0</v>
      </c>
      <c r="J1162" s="90">
        <f>SUM(I1163)</f>
        <v>4</v>
      </c>
      <c r="K1162" s="157">
        <v>4</v>
      </c>
      <c r="L1162" s="157">
        <v>200</v>
      </c>
      <c r="M1162" s="158">
        <f t="shared" si="255"/>
        <v>800</v>
      </c>
      <c r="N1162" s="5"/>
      <c r="O1162" s="82">
        <f t="shared" si="273"/>
        <v>0</v>
      </c>
    </row>
    <row r="1163" spans="1:15" s="5" customFormat="1" ht="16.149999999999999" customHeight="1" x14ac:dyDescent="0.2">
      <c r="A1163" s="30"/>
      <c r="B1163" s="98" t="s">
        <v>522</v>
      </c>
      <c r="C1163" s="32"/>
      <c r="D1163" s="32">
        <v>4</v>
      </c>
      <c r="E1163" s="89"/>
      <c r="F1163" s="89"/>
      <c r="G1163" s="89"/>
      <c r="H1163" s="89">
        <f t="shared" si="271"/>
        <v>4</v>
      </c>
      <c r="I1163" s="89">
        <f t="shared" si="275"/>
        <v>4</v>
      </c>
      <c r="J1163" s="89"/>
      <c r="K1163" s="157"/>
      <c r="L1163" s="157"/>
      <c r="M1163" s="158"/>
      <c r="O1163" s="82">
        <f t="shared" si="273"/>
        <v>0</v>
      </c>
    </row>
    <row r="1164" spans="1:15" s="14" customFormat="1" ht="14.25" x14ac:dyDescent="0.2">
      <c r="A1164" s="56" t="s">
        <v>384</v>
      </c>
      <c r="B1164" s="46" t="s">
        <v>412</v>
      </c>
      <c r="C1164" s="32" t="s">
        <v>76</v>
      </c>
      <c r="D1164" s="41"/>
      <c r="E1164" s="90"/>
      <c r="F1164" s="90"/>
      <c r="G1164" s="90"/>
      <c r="H1164" s="89">
        <f t="shared" si="271"/>
        <v>0</v>
      </c>
      <c r="I1164" s="89">
        <f t="shared" ref="I1164" si="276">H1164</f>
        <v>0</v>
      </c>
      <c r="J1164" s="90">
        <f>SUM(I1164:I1165)</f>
        <v>2</v>
      </c>
      <c r="K1164" s="163">
        <v>2</v>
      </c>
      <c r="L1164" s="163">
        <v>150</v>
      </c>
      <c r="M1164" s="158">
        <f t="shared" si="255"/>
        <v>300</v>
      </c>
      <c r="N1164" s="5"/>
      <c r="O1164" s="82">
        <f t="shared" si="273"/>
        <v>0</v>
      </c>
    </row>
    <row r="1165" spans="1:15" s="5" customFormat="1" ht="16.149999999999999" customHeight="1" x14ac:dyDescent="0.2">
      <c r="A1165" s="30"/>
      <c r="B1165" s="98" t="s">
        <v>465</v>
      </c>
      <c r="C1165" s="32"/>
      <c r="D1165" s="32">
        <v>2</v>
      </c>
      <c r="E1165" s="89"/>
      <c r="F1165" s="89"/>
      <c r="G1165" s="89"/>
      <c r="H1165" s="89">
        <f t="shared" ref="H1165:H1166" si="277">PRODUCT(D1165:G1165)</f>
        <v>2</v>
      </c>
      <c r="I1165" s="89">
        <f>H1165</f>
        <v>2</v>
      </c>
      <c r="J1165" s="89"/>
      <c r="K1165" s="157"/>
      <c r="L1165" s="157"/>
      <c r="M1165" s="158"/>
      <c r="O1165" s="82">
        <f t="shared" si="273"/>
        <v>0</v>
      </c>
    </row>
    <row r="1166" spans="1:15" s="5" customFormat="1" ht="16.149999999999999" customHeight="1" x14ac:dyDescent="0.2">
      <c r="A1166" s="30"/>
      <c r="B1166" s="98" t="s">
        <v>466</v>
      </c>
      <c r="C1166" s="32"/>
      <c r="D1166" s="32"/>
      <c r="E1166" s="89"/>
      <c r="F1166" s="89"/>
      <c r="G1166" s="89"/>
      <c r="H1166" s="89">
        <f t="shared" si="277"/>
        <v>0</v>
      </c>
      <c r="I1166" s="89">
        <f>H1166</f>
        <v>0</v>
      </c>
      <c r="J1166" s="89"/>
      <c r="K1166" s="157"/>
      <c r="L1166" s="157"/>
      <c r="M1166" s="158"/>
      <c r="O1166" s="82">
        <f t="shared" si="273"/>
        <v>0</v>
      </c>
    </row>
    <row r="1167" spans="1:15" ht="17.100000000000001" customHeight="1" x14ac:dyDescent="0.2">
      <c r="A1167" s="56"/>
      <c r="B1167" s="31" t="s">
        <v>47</v>
      </c>
      <c r="C1167" s="32"/>
      <c r="D1167" s="32"/>
      <c r="E1167" s="89"/>
      <c r="F1167" s="89"/>
      <c r="G1167" s="89"/>
      <c r="H1167" s="89"/>
      <c r="I1167" s="89"/>
      <c r="J1167" s="89"/>
      <c r="K1167" s="157"/>
      <c r="L1167" s="157"/>
      <c r="M1167" s="158">
        <f t="shared" si="255"/>
        <v>0</v>
      </c>
      <c r="O1167" s="82">
        <f t="shared" si="273"/>
        <v>0</v>
      </c>
    </row>
    <row r="1168" spans="1:15" ht="17.100000000000001" customHeight="1" x14ac:dyDescent="0.2">
      <c r="A1168" s="56" t="s">
        <v>70</v>
      </c>
      <c r="B1168" s="39" t="s">
        <v>300</v>
      </c>
      <c r="C1168" s="32" t="s">
        <v>76</v>
      </c>
      <c r="D1168" s="41"/>
      <c r="E1168" s="90"/>
      <c r="F1168" s="90"/>
      <c r="G1168" s="90"/>
      <c r="H1168" s="89">
        <f t="shared" ref="H1168:H1178" si="278">PRODUCT(D1168:G1168)</f>
        <v>0</v>
      </c>
      <c r="I1168" s="89">
        <f t="shared" ref="I1168" si="279">H1168</f>
        <v>0</v>
      </c>
      <c r="J1168" s="90">
        <f>SUM(I1169)</f>
        <v>2</v>
      </c>
      <c r="K1168" s="157">
        <v>2</v>
      </c>
      <c r="L1168" s="157">
        <v>1000</v>
      </c>
      <c r="M1168" s="158">
        <f t="shared" si="255"/>
        <v>2000</v>
      </c>
      <c r="O1168" s="82">
        <f t="shared" si="273"/>
        <v>0</v>
      </c>
    </row>
    <row r="1169" spans="1:263" s="5" customFormat="1" ht="16.149999999999999" customHeight="1" x14ac:dyDescent="0.2">
      <c r="A1169" s="30"/>
      <c r="B1169" s="98" t="s">
        <v>465</v>
      </c>
      <c r="C1169" s="32"/>
      <c r="D1169" s="32">
        <v>2</v>
      </c>
      <c r="E1169" s="89"/>
      <c r="F1169" s="89"/>
      <c r="G1169" s="89"/>
      <c r="H1169" s="89">
        <f t="shared" si="278"/>
        <v>2</v>
      </c>
      <c r="I1169" s="89">
        <f>H1169</f>
        <v>2</v>
      </c>
      <c r="J1169" s="89"/>
      <c r="K1169" s="157"/>
      <c r="L1169" s="157"/>
      <c r="M1169" s="158"/>
      <c r="O1169" s="82">
        <f t="shared" si="273"/>
        <v>0</v>
      </c>
    </row>
    <row r="1170" spans="1:263" ht="17.100000000000001" customHeight="1" x14ac:dyDescent="0.2">
      <c r="A1170" s="56" t="s">
        <v>48</v>
      </c>
      <c r="B1170" s="39" t="s">
        <v>333</v>
      </c>
      <c r="C1170" s="32" t="s">
        <v>76</v>
      </c>
      <c r="D1170" s="41"/>
      <c r="E1170" s="90"/>
      <c r="F1170" s="90"/>
      <c r="G1170" s="90"/>
      <c r="H1170" s="89">
        <f t="shared" si="278"/>
        <v>0</v>
      </c>
      <c r="I1170" s="89">
        <f t="shared" ref="I1170" si="280">H1170</f>
        <v>0</v>
      </c>
      <c r="J1170" s="90">
        <f>I1171</f>
        <v>2</v>
      </c>
      <c r="K1170" s="157">
        <v>2</v>
      </c>
      <c r="L1170" s="157">
        <v>1000</v>
      </c>
      <c r="M1170" s="158">
        <f t="shared" si="255"/>
        <v>2000</v>
      </c>
      <c r="O1170" s="82">
        <f t="shared" si="273"/>
        <v>0</v>
      </c>
    </row>
    <row r="1171" spans="1:263" s="5" customFormat="1" ht="16.149999999999999" customHeight="1" x14ac:dyDescent="0.2">
      <c r="A1171" s="30"/>
      <c r="B1171" s="98" t="s">
        <v>465</v>
      </c>
      <c r="C1171" s="32"/>
      <c r="D1171" s="32">
        <v>2</v>
      </c>
      <c r="E1171" s="89"/>
      <c r="F1171" s="89"/>
      <c r="G1171" s="89"/>
      <c r="H1171" s="89">
        <f t="shared" ref="H1171" si="281">PRODUCT(D1171:G1171)</f>
        <v>2</v>
      </c>
      <c r="I1171" s="89">
        <f>H1171</f>
        <v>2</v>
      </c>
      <c r="J1171" s="89"/>
      <c r="K1171" s="157"/>
      <c r="L1171" s="157"/>
      <c r="M1171" s="158"/>
      <c r="O1171" s="82">
        <f t="shared" si="273"/>
        <v>0</v>
      </c>
    </row>
    <row r="1172" spans="1:263" s="114" customFormat="1" ht="17.100000000000001" customHeight="1" x14ac:dyDescent="0.2">
      <c r="A1172" s="121" t="s">
        <v>347</v>
      </c>
      <c r="B1172" s="125" t="s">
        <v>413</v>
      </c>
      <c r="C1172" s="101" t="s">
        <v>76</v>
      </c>
      <c r="D1172" s="123"/>
      <c r="E1172" s="124"/>
      <c r="F1172" s="124"/>
      <c r="G1172" s="124"/>
      <c r="H1172" s="102">
        <f t="shared" si="278"/>
        <v>0</v>
      </c>
      <c r="I1172" s="102">
        <f t="shared" ref="I1172" si="282">H1172</f>
        <v>0</v>
      </c>
      <c r="J1172" s="90">
        <f>I1173</f>
        <v>1</v>
      </c>
      <c r="K1172" s="157">
        <v>1</v>
      </c>
      <c r="L1172" s="157">
        <v>5000</v>
      </c>
      <c r="M1172" s="158">
        <f t="shared" si="255"/>
        <v>5000</v>
      </c>
      <c r="N1172" s="104"/>
      <c r="O1172" s="82">
        <f t="shared" si="273"/>
        <v>0</v>
      </c>
      <c r="P1172" s="104"/>
      <c r="Q1172" s="104"/>
      <c r="R1172" s="104"/>
      <c r="S1172" s="104"/>
      <c r="T1172" s="104"/>
      <c r="U1172" s="104"/>
      <c r="V1172" s="104"/>
      <c r="W1172" s="104"/>
      <c r="X1172" s="104"/>
      <c r="Y1172" s="104"/>
      <c r="Z1172" s="104"/>
      <c r="AA1172" s="104"/>
      <c r="AB1172" s="104"/>
      <c r="AC1172" s="104"/>
      <c r="AD1172" s="104"/>
      <c r="AE1172" s="104"/>
      <c r="AF1172" s="104"/>
      <c r="AG1172" s="104"/>
      <c r="AH1172" s="104"/>
      <c r="AI1172" s="104"/>
      <c r="AJ1172" s="104"/>
      <c r="AK1172" s="104"/>
      <c r="AL1172" s="104"/>
      <c r="AM1172" s="104"/>
      <c r="AN1172" s="104"/>
      <c r="AO1172" s="104"/>
      <c r="AP1172" s="104"/>
      <c r="AQ1172" s="104"/>
      <c r="AR1172" s="104"/>
      <c r="AS1172" s="104"/>
      <c r="AT1172" s="104"/>
      <c r="AU1172" s="104"/>
      <c r="AV1172" s="104"/>
      <c r="AW1172" s="104"/>
      <c r="AX1172" s="104"/>
      <c r="AY1172" s="104"/>
      <c r="AZ1172" s="104"/>
      <c r="BA1172" s="104"/>
      <c r="BB1172" s="104"/>
      <c r="BC1172" s="104"/>
      <c r="BD1172" s="104"/>
      <c r="BE1172" s="104"/>
      <c r="BF1172" s="104"/>
      <c r="BG1172" s="104"/>
      <c r="BH1172" s="104"/>
      <c r="BI1172" s="104"/>
      <c r="BJ1172" s="104"/>
      <c r="BK1172" s="104"/>
      <c r="BL1172" s="104"/>
      <c r="BM1172" s="104"/>
      <c r="BN1172" s="104"/>
      <c r="BO1172" s="104"/>
      <c r="BP1172" s="104"/>
      <c r="BQ1172" s="104"/>
      <c r="BR1172" s="104"/>
      <c r="BS1172" s="104"/>
      <c r="BT1172" s="104"/>
      <c r="BU1172" s="104"/>
      <c r="BV1172" s="104"/>
      <c r="BW1172" s="104"/>
      <c r="BX1172" s="104"/>
      <c r="BY1172" s="104"/>
      <c r="BZ1172" s="104"/>
      <c r="CA1172" s="104"/>
      <c r="CB1172" s="104"/>
      <c r="CC1172" s="104"/>
      <c r="CD1172" s="104"/>
      <c r="CE1172" s="104"/>
      <c r="CF1172" s="104"/>
      <c r="CG1172" s="104"/>
      <c r="CH1172" s="104"/>
      <c r="CI1172" s="104"/>
      <c r="CJ1172" s="104"/>
      <c r="CK1172" s="104"/>
      <c r="CL1172" s="104"/>
      <c r="CM1172" s="104"/>
      <c r="CN1172" s="104"/>
      <c r="CO1172" s="104"/>
      <c r="CP1172" s="104"/>
      <c r="CQ1172" s="104"/>
      <c r="CR1172" s="104"/>
      <c r="CS1172" s="104"/>
      <c r="CT1172" s="104"/>
      <c r="CU1172" s="104"/>
      <c r="CV1172" s="104"/>
      <c r="CW1172" s="104"/>
      <c r="CX1172" s="104"/>
      <c r="CY1172" s="104"/>
      <c r="CZ1172" s="104"/>
      <c r="DA1172" s="104"/>
      <c r="DB1172" s="104"/>
      <c r="DC1172" s="104"/>
      <c r="DD1172" s="104"/>
      <c r="DE1172" s="104"/>
      <c r="DF1172" s="104"/>
      <c r="DG1172" s="104"/>
      <c r="DH1172" s="104"/>
      <c r="DI1172" s="104"/>
      <c r="DJ1172" s="104"/>
      <c r="DK1172" s="104"/>
      <c r="DL1172" s="104"/>
      <c r="DM1172" s="104"/>
      <c r="DN1172" s="104"/>
      <c r="DO1172" s="104"/>
      <c r="DP1172" s="104"/>
      <c r="DQ1172" s="104"/>
      <c r="DR1172" s="104"/>
      <c r="DS1172" s="104"/>
      <c r="DT1172" s="104"/>
      <c r="DU1172" s="104"/>
      <c r="DV1172" s="104"/>
      <c r="DW1172" s="104"/>
      <c r="DX1172" s="104"/>
      <c r="DY1172" s="104"/>
      <c r="DZ1172" s="104"/>
      <c r="EA1172" s="104"/>
      <c r="EB1172" s="104"/>
      <c r="EC1172" s="104"/>
      <c r="ED1172" s="104"/>
      <c r="EE1172" s="104"/>
      <c r="EF1172" s="104"/>
      <c r="EG1172" s="104"/>
      <c r="EH1172" s="104"/>
      <c r="EI1172" s="104"/>
      <c r="EJ1172" s="104"/>
      <c r="EK1172" s="104"/>
      <c r="EL1172" s="104"/>
      <c r="EM1172" s="104"/>
      <c r="EN1172" s="104"/>
      <c r="EO1172" s="104"/>
      <c r="EP1172" s="104"/>
      <c r="EQ1172" s="104"/>
      <c r="ER1172" s="104"/>
      <c r="ES1172" s="104"/>
      <c r="ET1172" s="104"/>
      <c r="EU1172" s="104"/>
      <c r="EV1172" s="104"/>
      <c r="EW1172" s="104"/>
      <c r="EX1172" s="104"/>
      <c r="EY1172" s="104"/>
      <c r="EZ1172" s="104"/>
      <c r="FA1172" s="104"/>
      <c r="FB1172" s="104"/>
      <c r="FC1172" s="104"/>
      <c r="FD1172" s="104"/>
      <c r="FE1172" s="104"/>
      <c r="FF1172" s="104"/>
      <c r="FG1172" s="104"/>
      <c r="FH1172" s="104"/>
      <c r="FI1172" s="104"/>
      <c r="FJ1172" s="104"/>
      <c r="FK1172" s="104"/>
      <c r="FL1172" s="104"/>
      <c r="FM1172" s="104"/>
      <c r="FN1172" s="104"/>
      <c r="FO1172" s="104"/>
      <c r="FP1172" s="104"/>
      <c r="FQ1172" s="104"/>
      <c r="FR1172" s="104"/>
      <c r="FS1172" s="104"/>
      <c r="FT1172" s="104"/>
      <c r="FU1172" s="104"/>
      <c r="FV1172" s="104"/>
      <c r="FW1172" s="104"/>
      <c r="FX1172" s="104"/>
      <c r="FY1172" s="104"/>
      <c r="FZ1172" s="104"/>
      <c r="GA1172" s="104"/>
      <c r="GB1172" s="104"/>
      <c r="GC1172" s="104"/>
      <c r="GD1172" s="104"/>
      <c r="GE1172" s="104"/>
      <c r="GF1172" s="104"/>
      <c r="GG1172" s="104"/>
      <c r="GH1172" s="104"/>
      <c r="GI1172" s="104"/>
      <c r="GJ1172" s="104"/>
      <c r="GK1172" s="104"/>
      <c r="GL1172" s="104"/>
      <c r="GM1172" s="104"/>
      <c r="GN1172" s="104"/>
      <c r="GO1172" s="104"/>
      <c r="GP1172" s="104"/>
      <c r="GQ1172" s="104"/>
      <c r="GR1172" s="104"/>
      <c r="GS1172" s="104"/>
      <c r="GT1172" s="104"/>
      <c r="GU1172" s="104"/>
      <c r="GV1172" s="104"/>
      <c r="GW1172" s="104"/>
      <c r="GX1172" s="104"/>
      <c r="GY1172" s="104"/>
      <c r="GZ1172" s="104"/>
      <c r="HA1172" s="104"/>
      <c r="HB1172" s="104"/>
      <c r="HC1172" s="104"/>
      <c r="HD1172" s="104"/>
      <c r="HE1172" s="104"/>
      <c r="HF1172" s="104"/>
      <c r="HG1172" s="104"/>
      <c r="HH1172" s="104"/>
      <c r="HI1172" s="104"/>
      <c r="HJ1172" s="104"/>
      <c r="HK1172" s="104"/>
      <c r="HL1172" s="104"/>
      <c r="HM1172" s="104"/>
      <c r="HN1172" s="104"/>
      <c r="HO1172" s="104"/>
      <c r="HP1172" s="104"/>
      <c r="HQ1172" s="104"/>
      <c r="HR1172" s="104"/>
      <c r="HS1172" s="104"/>
      <c r="HT1172" s="104"/>
      <c r="HU1172" s="104"/>
      <c r="HV1172" s="104"/>
      <c r="HW1172" s="104"/>
      <c r="HX1172" s="104"/>
      <c r="HY1172" s="104"/>
      <c r="HZ1172" s="104"/>
      <c r="IA1172" s="104"/>
      <c r="IB1172" s="104"/>
      <c r="IC1172" s="104"/>
      <c r="ID1172" s="104"/>
      <c r="IE1172" s="104"/>
      <c r="IF1172" s="104"/>
      <c r="IG1172" s="104"/>
      <c r="IH1172" s="104"/>
      <c r="II1172" s="104"/>
      <c r="IJ1172" s="104"/>
      <c r="IK1172" s="104"/>
      <c r="IL1172" s="104"/>
      <c r="IM1172" s="104"/>
      <c r="IN1172" s="104"/>
      <c r="IO1172" s="104"/>
      <c r="IP1172" s="104"/>
      <c r="IQ1172" s="104"/>
      <c r="IR1172" s="104"/>
      <c r="IS1172" s="104"/>
      <c r="IT1172" s="104"/>
      <c r="IU1172" s="104"/>
      <c r="IV1172" s="104"/>
      <c r="IW1172" s="104"/>
      <c r="IX1172" s="104"/>
      <c r="IY1172" s="104"/>
      <c r="IZ1172" s="104"/>
      <c r="JA1172" s="104"/>
      <c r="JB1172" s="104"/>
      <c r="JC1172" s="104"/>
    </row>
    <row r="1173" spans="1:263" s="5" customFormat="1" ht="16.149999999999999" customHeight="1" x14ac:dyDescent="0.2">
      <c r="A1173" s="30"/>
      <c r="B1173" s="98" t="s">
        <v>465</v>
      </c>
      <c r="C1173" s="32"/>
      <c r="D1173" s="32">
        <v>1</v>
      </c>
      <c r="E1173" s="89"/>
      <c r="F1173" s="89"/>
      <c r="G1173" s="89"/>
      <c r="H1173" s="89">
        <f t="shared" si="278"/>
        <v>1</v>
      </c>
      <c r="I1173" s="89">
        <f>H1173</f>
        <v>1</v>
      </c>
      <c r="J1173" s="89"/>
      <c r="K1173" s="157"/>
      <c r="L1173" s="157"/>
      <c r="M1173" s="158"/>
      <c r="O1173" s="82">
        <f t="shared" si="273"/>
        <v>0</v>
      </c>
    </row>
    <row r="1174" spans="1:263" ht="17.100000000000001" customHeight="1" x14ac:dyDescent="0.2">
      <c r="A1174" s="56" t="s">
        <v>49</v>
      </c>
      <c r="B1174" s="39" t="s">
        <v>0</v>
      </c>
      <c r="C1174" s="32" t="s">
        <v>76</v>
      </c>
      <c r="D1174" s="41"/>
      <c r="E1174" s="90"/>
      <c r="F1174" s="90"/>
      <c r="G1174" s="90"/>
      <c r="H1174" s="89">
        <f t="shared" si="278"/>
        <v>0</v>
      </c>
      <c r="I1174" s="89">
        <f t="shared" ref="I1174" si="283">H1174</f>
        <v>0</v>
      </c>
      <c r="J1174" s="90">
        <f>I1175</f>
        <v>2</v>
      </c>
      <c r="K1174" s="157">
        <v>2</v>
      </c>
      <c r="L1174" s="157">
        <v>1000</v>
      </c>
      <c r="M1174" s="158">
        <f t="shared" si="255"/>
        <v>2000</v>
      </c>
      <c r="O1174" s="82">
        <f t="shared" si="273"/>
        <v>0</v>
      </c>
    </row>
    <row r="1175" spans="1:263" s="5" customFormat="1" ht="16.149999999999999" customHeight="1" x14ac:dyDescent="0.2">
      <c r="A1175" s="30"/>
      <c r="B1175" s="98" t="s">
        <v>465</v>
      </c>
      <c r="C1175" s="32"/>
      <c r="D1175" s="32">
        <v>2</v>
      </c>
      <c r="E1175" s="89"/>
      <c r="F1175" s="89"/>
      <c r="G1175" s="89"/>
      <c r="H1175" s="89">
        <f t="shared" si="278"/>
        <v>2</v>
      </c>
      <c r="I1175" s="89">
        <f>H1175</f>
        <v>2</v>
      </c>
      <c r="J1175" s="89"/>
      <c r="K1175" s="157"/>
      <c r="L1175" s="157"/>
      <c r="M1175" s="158"/>
      <c r="O1175" s="82">
        <f t="shared" si="273"/>
        <v>0</v>
      </c>
    </row>
    <row r="1176" spans="1:263" ht="17.100000000000001" customHeight="1" x14ac:dyDescent="0.2">
      <c r="A1176" s="56" t="s">
        <v>50</v>
      </c>
      <c r="B1176" s="39" t="s">
        <v>28</v>
      </c>
      <c r="C1176" s="32" t="s">
        <v>76</v>
      </c>
      <c r="D1176" s="41"/>
      <c r="E1176" s="90"/>
      <c r="F1176" s="90"/>
      <c r="G1176" s="90"/>
      <c r="H1176" s="89">
        <f t="shared" si="278"/>
        <v>0</v>
      </c>
      <c r="I1176" s="89">
        <f t="shared" ref="I1176" si="284">H1176</f>
        <v>0</v>
      </c>
      <c r="J1176" s="90">
        <f>I1177</f>
        <v>12</v>
      </c>
      <c r="K1176" s="157">
        <v>12</v>
      </c>
      <c r="L1176" s="157">
        <v>800</v>
      </c>
      <c r="M1176" s="158">
        <f t="shared" si="255"/>
        <v>9600</v>
      </c>
      <c r="O1176" s="82">
        <f t="shared" si="273"/>
        <v>0</v>
      </c>
    </row>
    <row r="1177" spans="1:263" s="5" customFormat="1" ht="16.149999999999999" customHeight="1" x14ac:dyDescent="0.2">
      <c r="A1177" s="30"/>
      <c r="B1177" s="98" t="s">
        <v>466</v>
      </c>
      <c r="C1177" s="32"/>
      <c r="D1177" s="32">
        <v>12</v>
      </c>
      <c r="E1177" s="89"/>
      <c r="F1177" s="89"/>
      <c r="G1177" s="89"/>
      <c r="H1177" s="89">
        <f t="shared" si="278"/>
        <v>12</v>
      </c>
      <c r="I1177" s="89">
        <f>H1177</f>
        <v>12</v>
      </c>
      <c r="J1177" s="89"/>
      <c r="K1177" s="157"/>
      <c r="L1177" s="157"/>
      <c r="M1177" s="158"/>
      <c r="O1177" s="82">
        <f t="shared" si="273"/>
        <v>0</v>
      </c>
    </row>
    <row r="1178" spans="1:263" ht="17.100000000000001" customHeight="1" x14ac:dyDescent="0.2">
      <c r="A1178" s="56" t="s">
        <v>39</v>
      </c>
      <c r="B1178" s="39" t="s">
        <v>94</v>
      </c>
      <c r="C1178" s="32" t="s">
        <v>76</v>
      </c>
      <c r="D1178" s="41"/>
      <c r="E1178" s="90"/>
      <c r="F1178" s="90"/>
      <c r="G1178" s="90"/>
      <c r="H1178" s="89">
        <f t="shared" si="278"/>
        <v>0</v>
      </c>
      <c r="I1178" s="89">
        <f t="shared" ref="I1178" si="285">H1178</f>
        <v>0</v>
      </c>
      <c r="J1178" s="90">
        <f>SUM(I1179)</f>
        <v>4</v>
      </c>
      <c r="K1178" s="157">
        <v>4</v>
      </c>
      <c r="L1178" s="157">
        <v>1000</v>
      </c>
      <c r="M1178" s="158">
        <f t="shared" si="255"/>
        <v>4000</v>
      </c>
      <c r="O1178" s="82">
        <f t="shared" si="273"/>
        <v>0</v>
      </c>
    </row>
    <row r="1179" spans="1:263" s="5" customFormat="1" ht="16.149999999999999" customHeight="1" x14ac:dyDescent="0.2">
      <c r="A1179" s="30"/>
      <c r="B1179" s="98" t="s">
        <v>466</v>
      </c>
      <c r="C1179" s="32"/>
      <c r="D1179" s="32">
        <v>4</v>
      </c>
      <c r="E1179" s="89"/>
      <c r="F1179" s="89"/>
      <c r="G1179" s="89"/>
      <c r="H1179" s="89">
        <f t="shared" ref="H1179" si="286">PRODUCT(D1179:G1179)</f>
        <v>4</v>
      </c>
      <c r="I1179" s="89">
        <f>H1179</f>
        <v>4</v>
      </c>
      <c r="J1179" s="89"/>
      <c r="K1179" s="157"/>
      <c r="L1179" s="157"/>
      <c r="M1179" s="158"/>
      <c r="O1179" s="82">
        <f t="shared" si="273"/>
        <v>0</v>
      </c>
    </row>
    <row r="1180" spans="1:263" ht="17.100000000000001" customHeight="1" x14ac:dyDescent="0.2">
      <c r="A1180" s="56" t="s">
        <v>71</v>
      </c>
      <c r="B1180" s="39" t="s">
        <v>525</v>
      </c>
      <c r="C1180" s="32" t="s">
        <v>76</v>
      </c>
      <c r="D1180" s="41"/>
      <c r="E1180" s="90"/>
      <c r="F1180" s="90"/>
      <c r="G1180" s="90"/>
      <c r="H1180" s="89">
        <f>PRODUCT(D1180:G1180)</f>
        <v>0</v>
      </c>
      <c r="I1180" s="89">
        <f t="shared" ref="I1180" si="287">H1180</f>
        <v>0</v>
      </c>
      <c r="J1180" s="90">
        <f>SUM(I1181)</f>
        <v>1</v>
      </c>
      <c r="K1180" s="157">
        <v>1</v>
      </c>
      <c r="L1180" s="157">
        <v>15000</v>
      </c>
      <c r="M1180" s="158">
        <f>+L1180*K1180</f>
        <v>15000</v>
      </c>
      <c r="O1180" s="82">
        <f t="shared" si="273"/>
        <v>0</v>
      </c>
    </row>
    <row r="1181" spans="1:263" s="5" customFormat="1" ht="16.149999999999999" customHeight="1" x14ac:dyDescent="0.2">
      <c r="A1181" s="30"/>
      <c r="B1181" s="98" t="s">
        <v>465</v>
      </c>
      <c r="C1181" s="32"/>
      <c r="D1181" s="32">
        <v>1</v>
      </c>
      <c r="E1181" s="89"/>
      <c r="F1181" s="89"/>
      <c r="G1181" s="89"/>
      <c r="H1181" s="89">
        <f t="shared" ref="H1181" si="288">PRODUCT(D1181:G1181)</f>
        <v>1</v>
      </c>
      <c r="I1181" s="89">
        <f>H1181</f>
        <v>1</v>
      </c>
      <c r="J1181" s="89"/>
      <c r="K1181" s="157"/>
      <c r="L1181" s="157"/>
      <c r="M1181" s="158"/>
      <c r="O1181" s="82">
        <f t="shared" si="273"/>
        <v>0</v>
      </c>
    </row>
    <row r="1182" spans="1:263" ht="17.100000000000001" customHeight="1" x14ac:dyDescent="0.2">
      <c r="A1182" s="56"/>
      <c r="B1182" s="62" t="s">
        <v>56</v>
      </c>
      <c r="C1182" s="41"/>
      <c r="D1182" s="41"/>
      <c r="E1182" s="90"/>
      <c r="F1182" s="90"/>
      <c r="G1182" s="90"/>
      <c r="H1182" s="90"/>
      <c r="I1182" s="90"/>
      <c r="J1182" s="90"/>
      <c r="K1182" s="163"/>
      <c r="L1182" s="163"/>
      <c r="M1182" s="158">
        <f t="shared" si="255"/>
        <v>0</v>
      </c>
      <c r="O1182" s="82">
        <f t="shared" si="273"/>
        <v>0</v>
      </c>
    </row>
    <row r="1183" spans="1:263" ht="17.100000000000001" customHeight="1" x14ac:dyDescent="0.2">
      <c r="A1183" s="56" t="s">
        <v>26</v>
      </c>
      <c r="B1183" s="63" t="s">
        <v>86</v>
      </c>
      <c r="C1183" s="32" t="s">
        <v>76</v>
      </c>
      <c r="D1183" s="41"/>
      <c r="E1183" s="90"/>
      <c r="F1183" s="90"/>
      <c r="G1183" s="90"/>
      <c r="H1183" s="89">
        <f t="shared" ref="H1183:H1187" si="289">PRODUCT(D1183:G1183)</f>
        <v>0</v>
      </c>
      <c r="I1183" s="89">
        <f t="shared" ref="I1183" si="290">H1183</f>
        <v>0</v>
      </c>
      <c r="J1183" s="90">
        <v>6</v>
      </c>
      <c r="K1183" s="157">
        <v>6</v>
      </c>
      <c r="L1183" s="157">
        <v>900</v>
      </c>
      <c r="M1183" s="158">
        <f t="shared" si="255"/>
        <v>5400</v>
      </c>
      <c r="O1183" s="82">
        <f t="shared" si="273"/>
        <v>0</v>
      </c>
    </row>
    <row r="1184" spans="1:263" s="83" customFormat="1" ht="17.100000000000001" customHeight="1" x14ac:dyDescent="0.2">
      <c r="A1184" s="56" t="s">
        <v>27</v>
      </c>
      <c r="B1184" s="64" t="s">
        <v>301</v>
      </c>
      <c r="C1184" s="59" t="s">
        <v>76</v>
      </c>
      <c r="D1184" s="41"/>
      <c r="E1184" s="90"/>
      <c r="F1184" s="90"/>
      <c r="G1184" s="90"/>
      <c r="H1184" s="89">
        <f t="shared" si="289"/>
        <v>0</v>
      </c>
      <c r="I1184" s="89">
        <f t="shared" ref="I1184" si="291">H1184</f>
        <v>0</v>
      </c>
      <c r="J1184" s="90">
        <v>2</v>
      </c>
      <c r="K1184" s="157">
        <v>2</v>
      </c>
      <c r="L1184" s="165">
        <v>950</v>
      </c>
      <c r="M1184" s="158">
        <f t="shared" si="255"/>
        <v>1900</v>
      </c>
      <c r="N1184" s="5"/>
      <c r="O1184" s="82">
        <f t="shared" si="273"/>
        <v>0</v>
      </c>
    </row>
    <row r="1185" spans="1:15" s="5" customFormat="1" ht="18" customHeight="1" x14ac:dyDescent="0.2">
      <c r="A1185" s="56" t="s">
        <v>249</v>
      </c>
      <c r="B1185" s="63" t="s">
        <v>81</v>
      </c>
      <c r="C1185" s="32" t="s">
        <v>76</v>
      </c>
      <c r="D1185" s="41"/>
      <c r="E1185" s="90"/>
      <c r="F1185" s="90"/>
      <c r="G1185" s="90"/>
      <c r="H1185" s="89">
        <f t="shared" si="289"/>
        <v>0</v>
      </c>
      <c r="I1185" s="89">
        <f t="shared" ref="I1185:J1185" si="292">H1185</f>
        <v>0</v>
      </c>
      <c r="J1185" s="90">
        <f t="shared" si="292"/>
        <v>0</v>
      </c>
      <c r="K1185" s="157">
        <v>0</v>
      </c>
      <c r="L1185" s="157">
        <v>3500</v>
      </c>
      <c r="M1185" s="158">
        <f t="shared" si="255"/>
        <v>0</v>
      </c>
      <c r="O1185" s="82">
        <f t="shared" si="273"/>
        <v>0</v>
      </c>
    </row>
    <row r="1186" spans="1:15" s="5" customFormat="1" ht="18" customHeight="1" x14ac:dyDescent="0.2">
      <c r="A1186" s="56" t="s">
        <v>250</v>
      </c>
      <c r="B1186" s="63" t="s">
        <v>125</v>
      </c>
      <c r="C1186" s="32" t="s">
        <v>76</v>
      </c>
      <c r="D1186" s="41"/>
      <c r="E1186" s="90"/>
      <c r="F1186" s="90"/>
      <c r="G1186" s="90"/>
      <c r="H1186" s="89">
        <f t="shared" si="289"/>
        <v>0</v>
      </c>
      <c r="I1186" s="89">
        <f t="shared" ref="I1186:J1186" si="293">H1186</f>
        <v>0</v>
      </c>
      <c r="J1186" s="90">
        <f t="shared" si="293"/>
        <v>0</v>
      </c>
      <c r="K1186" s="157"/>
      <c r="L1186" s="157">
        <v>15000</v>
      </c>
      <c r="M1186" s="158">
        <f t="shared" si="255"/>
        <v>0</v>
      </c>
      <c r="O1186" s="82">
        <f t="shared" si="273"/>
        <v>0</v>
      </c>
    </row>
    <row r="1187" spans="1:15" s="14" customFormat="1" ht="14.25" x14ac:dyDescent="0.2">
      <c r="A1187" s="56" t="s">
        <v>379</v>
      </c>
      <c r="B1187" s="47" t="s">
        <v>380</v>
      </c>
      <c r="C1187" s="32" t="s">
        <v>1</v>
      </c>
      <c r="D1187" s="41"/>
      <c r="E1187" s="90"/>
      <c r="F1187" s="90"/>
      <c r="G1187" s="90"/>
      <c r="H1187" s="89">
        <f t="shared" si="289"/>
        <v>0</v>
      </c>
      <c r="I1187" s="89">
        <f t="shared" ref="I1187:J1187" si="294">H1187</f>
        <v>0</v>
      </c>
      <c r="J1187" s="90">
        <f t="shared" si="294"/>
        <v>0</v>
      </c>
      <c r="K1187" s="157"/>
      <c r="L1187" s="157">
        <v>120</v>
      </c>
      <c r="M1187" s="158">
        <f t="shared" si="255"/>
        <v>0</v>
      </c>
      <c r="N1187" s="5"/>
      <c r="O1187" s="82">
        <f t="shared" si="273"/>
        <v>0</v>
      </c>
    </row>
    <row r="1188" spans="1:15" s="14" customFormat="1" ht="14.25" x14ac:dyDescent="0.2">
      <c r="A1188" s="56" t="s">
        <v>381</v>
      </c>
      <c r="B1188" s="63" t="s">
        <v>454</v>
      </c>
      <c r="C1188" s="32"/>
      <c r="D1188" s="32"/>
      <c r="E1188" s="89"/>
      <c r="F1188" s="89"/>
      <c r="G1188" s="89"/>
      <c r="H1188" s="89"/>
      <c r="I1188" s="89"/>
      <c r="J1188" s="89"/>
      <c r="K1188" s="157"/>
      <c r="L1188" s="157"/>
      <c r="M1188" s="158">
        <f t="shared" si="255"/>
        <v>0</v>
      </c>
      <c r="N1188" s="5"/>
      <c r="O1188" s="82">
        <f t="shared" si="273"/>
        <v>0</v>
      </c>
    </row>
    <row r="1189" spans="1:15" s="14" customFormat="1" ht="14.25" x14ac:dyDescent="0.2">
      <c r="A1189" s="56" t="s">
        <v>415</v>
      </c>
      <c r="B1189" s="47" t="s">
        <v>417</v>
      </c>
      <c r="C1189" s="32" t="s">
        <v>1</v>
      </c>
      <c r="D1189" s="41"/>
      <c r="E1189" s="90"/>
      <c r="F1189" s="90"/>
      <c r="G1189" s="90"/>
      <c r="H1189" s="89">
        <f t="shared" ref="H1189:H1190" si="295">PRODUCT(D1189:G1189)</f>
        <v>0</v>
      </c>
      <c r="I1189" s="89">
        <f t="shared" ref="I1189:J1189" si="296">H1189</f>
        <v>0</v>
      </c>
      <c r="J1189" s="90">
        <f t="shared" si="296"/>
        <v>0</v>
      </c>
      <c r="K1189" s="157"/>
      <c r="L1189" s="157">
        <v>150</v>
      </c>
      <c r="M1189" s="158">
        <f t="shared" si="255"/>
        <v>0</v>
      </c>
      <c r="N1189" s="5"/>
      <c r="O1189" s="82">
        <f t="shared" si="273"/>
        <v>0</v>
      </c>
    </row>
    <row r="1190" spans="1:15" s="14" customFormat="1" ht="14.25" x14ac:dyDescent="0.2">
      <c r="A1190" s="56" t="s">
        <v>416</v>
      </c>
      <c r="B1190" s="47" t="s">
        <v>418</v>
      </c>
      <c r="C1190" s="32" t="s">
        <v>1</v>
      </c>
      <c r="D1190" s="41"/>
      <c r="E1190" s="90"/>
      <c r="F1190" s="90"/>
      <c r="G1190" s="90"/>
      <c r="H1190" s="89">
        <f t="shared" si="295"/>
        <v>0</v>
      </c>
      <c r="I1190" s="89">
        <f t="shared" ref="I1190:J1190" si="297">H1190</f>
        <v>0</v>
      </c>
      <c r="J1190" s="90">
        <f t="shared" si="297"/>
        <v>0</v>
      </c>
      <c r="K1190" s="157"/>
      <c r="L1190" s="157">
        <v>140</v>
      </c>
      <c r="M1190" s="158">
        <f t="shared" si="255"/>
        <v>0</v>
      </c>
      <c r="N1190" s="5"/>
      <c r="O1190" s="82">
        <f t="shared" si="273"/>
        <v>0</v>
      </c>
    </row>
    <row r="1191" spans="1:15" ht="18" customHeight="1" x14ac:dyDescent="0.2">
      <c r="A1191" s="250" t="s">
        <v>113</v>
      </c>
      <c r="B1191" s="251"/>
      <c r="C1191" s="251"/>
      <c r="D1191" s="251"/>
      <c r="E1191" s="251"/>
      <c r="F1191" s="251"/>
      <c r="G1191" s="251"/>
      <c r="H1191" s="251"/>
      <c r="I1191" s="251"/>
      <c r="J1191" s="251"/>
      <c r="K1191" s="251"/>
      <c r="L1191" s="252"/>
      <c r="M1191" s="159">
        <f>SUM(M1134:M1190)</f>
        <v>125850</v>
      </c>
      <c r="O1191" s="82">
        <f t="shared" si="273"/>
        <v>0</v>
      </c>
    </row>
    <row r="1192" spans="1:15" ht="18" customHeight="1" x14ac:dyDescent="0.2">
      <c r="A1192" s="40"/>
      <c r="B1192" s="62" t="s">
        <v>251</v>
      </c>
      <c r="C1192" s="41"/>
      <c r="D1192" s="41"/>
      <c r="E1192" s="90"/>
      <c r="F1192" s="90"/>
      <c r="G1192" s="90"/>
      <c r="H1192" s="90"/>
      <c r="I1192" s="90"/>
      <c r="J1192" s="90"/>
      <c r="K1192" s="163"/>
      <c r="L1192" s="163"/>
      <c r="M1192" s="158"/>
      <c r="O1192" s="82">
        <f t="shared" si="273"/>
        <v>0</v>
      </c>
    </row>
    <row r="1193" spans="1:15" s="83" customFormat="1" ht="18" customHeight="1" x14ac:dyDescent="0.2">
      <c r="A1193" s="66" t="s">
        <v>57</v>
      </c>
      <c r="B1193" s="53" t="s">
        <v>358</v>
      </c>
      <c r="C1193" s="67" t="s">
        <v>4</v>
      </c>
      <c r="D1193" s="67"/>
      <c r="E1193" s="92"/>
      <c r="F1193" s="92"/>
      <c r="G1193" s="92"/>
      <c r="H1193" s="92"/>
      <c r="I1193" s="92">
        <f>SUM(H1193:H1211)</f>
        <v>2768.1800000000003</v>
      </c>
      <c r="J1193" s="92">
        <f>I1193</f>
        <v>2768.1800000000003</v>
      </c>
      <c r="K1193" s="163">
        <v>3100</v>
      </c>
      <c r="L1193" s="166">
        <v>18</v>
      </c>
      <c r="M1193" s="158">
        <f>+L1193*K1193</f>
        <v>55800</v>
      </c>
      <c r="N1193" s="68"/>
      <c r="O1193" s="82">
        <f t="shared" si="273"/>
        <v>331.81999999999971</v>
      </c>
    </row>
    <row r="1194" spans="1:15" ht="15.95" customHeight="1" x14ac:dyDescent="0.2">
      <c r="A1194" s="40"/>
      <c r="B1194" s="118" t="s">
        <v>505</v>
      </c>
      <c r="C1194" s="41"/>
      <c r="D1194" s="41">
        <v>1</v>
      </c>
      <c r="E1194" s="90">
        <f>J452</f>
        <v>876.22</v>
      </c>
      <c r="F1194" s="90"/>
      <c r="G1194" s="90"/>
      <c r="H1194" s="89">
        <f t="shared" ref="H1194:H1320" si="298">PRODUCT(D1194:G1194)</f>
        <v>876.22</v>
      </c>
      <c r="I1194" s="90"/>
      <c r="J1194" s="90"/>
      <c r="K1194" s="163"/>
      <c r="L1194" s="163"/>
      <c r="M1194" s="158"/>
      <c r="O1194" s="82">
        <f t="shared" si="273"/>
        <v>0</v>
      </c>
    </row>
    <row r="1195" spans="1:15" ht="16.5" customHeight="1" x14ac:dyDescent="0.2">
      <c r="A1195" s="40"/>
      <c r="B1195" s="45"/>
      <c r="C1195" s="41"/>
      <c r="D1195" s="41"/>
      <c r="E1195" s="90"/>
      <c r="F1195" s="90"/>
      <c r="G1195" s="90"/>
      <c r="H1195" s="89">
        <f t="shared" si="298"/>
        <v>0</v>
      </c>
      <c r="I1195" s="90"/>
      <c r="J1195" s="90"/>
      <c r="K1195" s="163"/>
      <c r="L1195" s="163"/>
      <c r="M1195" s="158"/>
      <c r="O1195" s="82">
        <f t="shared" si="273"/>
        <v>0</v>
      </c>
    </row>
    <row r="1196" spans="1:15" ht="16.5" customHeight="1" x14ac:dyDescent="0.2">
      <c r="A1196" s="40"/>
      <c r="B1196" s="119" t="s">
        <v>506</v>
      </c>
      <c r="C1196" s="41"/>
      <c r="D1196" s="41"/>
      <c r="E1196" s="90"/>
      <c r="F1196" s="90"/>
      <c r="G1196" s="90"/>
      <c r="H1196" s="89">
        <f t="shared" si="298"/>
        <v>0</v>
      </c>
      <c r="I1196" s="90"/>
      <c r="J1196" s="90"/>
      <c r="K1196" s="163"/>
      <c r="L1196" s="163"/>
      <c r="M1196" s="158"/>
      <c r="O1196" s="82">
        <f t="shared" si="273"/>
        <v>0</v>
      </c>
    </row>
    <row r="1197" spans="1:15" ht="16.5" customHeight="1" x14ac:dyDescent="0.2">
      <c r="A1197" s="40"/>
      <c r="B1197" s="45" t="s">
        <v>507</v>
      </c>
      <c r="C1197" s="41"/>
      <c r="D1197" s="41">
        <v>2</v>
      </c>
      <c r="E1197" s="90">
        <f>35.5+2</f>
        <v>37.5</v>
      </c>
      <c r="F1197" s="90"/>
      <c r="G1197" s="90">
        <f>3.4*2+0.6</f>
        <v>7.3999999999999995</v>
      </c>
      <c r="H1197" s="89">
        <f t="shared" si="298"/>
        <v>555</v>
      </c>
      <c r="I1197" s="90"/>
      <c r="J1197" s="90"/>
      <c r="K1197" s="163"/>
      <c r="L1197" s="163"/>
      <c r="M1197" s="158"/>
      <c r="O1197" s="82">
        <f t="shared" si="273"/>
        <v>0</v>
      </c>
    </row>
    <row r="1198" spans="1:15" ht="16.5" customHeight="1" x14ac:dyDescent="0.2">
      <c r="A1198" s="40"/>
      <c r="B1198" s="45"/>
      <c r="C1198" s="41"/>
      <c r="D1198" s="41">
        <v>2</v>
      </c>
      <c r="E1198" s="90">
        <v>10.6</v>
      </c>
      <c r="F1198" s="90"/>
      <c r="G1198" s="90">
        <f>3.4*2+0.6</f>
        <v>7.3999999999999995</v>
      </c>
      <c r="H1198" s="89">
        <f t="shared" si="298"/>
        <v>156.88</v>
      </c>
      <c r="I1198" s="90"/>
      <c r="J1198" s="90"/>
      <c r="K1198" s="163"/>
      <c r="L1198" s="163"/>
      <c r="M1198" s="158"/>
      <c r="O1198" s="82">
        <f t="shared" si="273"/>
        <v>0</v>
      </c>
    </row>
    <row r="1199" spans="1:15" ht="16.5" customHeight="1" x14ac:dyDescent="0.2">
      <c r="A1199" s="40"/>
      <c r="B1199" s="45" t="s">
        <v>508</v>
      </c>
      <c r="C1199" s="41"/>
      <c r="D1199" s="41">
        <v>2</v>
      </c>
      <c r="E1199" s="90">
        <f>19.3+1*2</f>
        <v>21.3</v>
      </c>
      <c r="F1199" s="90"/>
      <c r="G1199" s="90">
        <v>3.6</v>
      </c>
      <c r="H1199" s="89">
        <f t="shared" si="298"/>
        <v>153.36000000000001</v>
      </c>
      <c r="I1199" s="90"/>
      <c r="J1199" s="90"/>
      <c r="K1199" s="163"/>
      <c r="L1199" s="163"/>
      <c r="M1199" s="158"/>
      <c r="O1199" s="82">
        <f t="shared" si="273"/>
        <v>0</v>
      </c>
    </row>
    <row r="1200" spans="1:15" ht="16.5" customHeight="1" x14ac:dyDescent="0.2">
      <c r="A1200" s="40"/>
      <c r="B1200" s="45"/>
      <c r="C1200" s="41"/>
      <c r="D1200" s="41">
        <v>2</v>
      </c>
      <c r="E1200" s="90">
        <v>8.6999999999999993</v>
      </c>
      <c r="F1200" s="90"/>
      <c r="G1200" s="90">
        <v>3.6</v>
      </c>
      <c r="H1200" s="89">
        <f t="shared" si="298"/>
        <v>62.639999999999993</v>
      </c>
      <c r="I1200" s="90"/>
      <c r="J1200" s="90"/>
      <c r="K1200" s="163"/>
      <c r="L1200" s="163"/>
      <c r="M1200" s="158"/>
      <c r="O1200" s="82">
        <f t="shared" si="273"/>
        <v>0</v>
      </c>
    </row>
    <row r="1201" spans="1:15" ht="16.5" customHeight="1" x14ac:dyDescent="0.2">
      <c r="A1201" s="40"/>
      <c r="B1201" s="45" t="s">
        <v>508</v>
      </c>
      <c r="C1201" s="41"/>
      <c r="D1201" s="41">
        <v>2</v>
      </c>
      <c r="E1201" s="90">
        <f>19.15+1*2</f>
        <v>21.15</v>
      </c>
      <c r="F1201" s="90"/>
      <c r="G1201" s="90">
        <v>3.6</v>
      </c>
      <c r="H1201" s="89">
        <f t="shared" si="298"/>
        <v>152.28</v>
      </c>
      <c r="I1201" s="90"/>
      <c r="J1201" s="90"/>
      <c r="K1201" s="163"/>
      <c r="L1201" s="163"/>
      <c r="M1201" s="158"/>
      <c r="O1201" s="82">
        <f t="shared" si="273"/>
        <v>0</v>
      </c>
    </row>
    <row r="1202" spans="1:15" ht="16.5" customHeight="1" x14ac:dyDescent="0.2">
      <c r="A1202" s="40"/>
      <c r="B1202" s="45"/>
      <c r="C1202" s="41"/>
      <c r="D1202" s="41">
        <v>2</v>
      </c>
      <c r="E1202" s="90">
        <v>8.6999999999999993</v>
      </c>
      <c r="F1202" s="90"/>
      <c r="G1202" s="90">
        <v>3.6</v>
      </c>
      <c r="H1202" s="89">
        <f t="shared" si="298"/>
        <v>62.639999999999993</v>
      </c>
      <c r="I1202" s="90"/>
      <c r="J1202" s="90"/>
      <c r="K1202" s="163"/>
      <c r="L1202" s="163"/>
      <c r="M1202" s="158"/>
      <c r="O1202" s="82">
        <f t="shared" si="273"/>
        <v>0</v>
      </c>
    </row>
    <row r="1203" spans="1:15" ht="16.5" customHeight="1" x14ac:dyDescent="0.2">
      <c r="A1203" s="40"/>
      <c r="B1203" s="45" t="s">
        <v>508</v>
      </c>
      <c r="C1203" s="41"/>
      <c r="D1203" s="41">
        <v>2</v>
      </c>
      <c r="E1203" s="90">
        <f>20.8+1*2</f>
        <v>22.8</v>
      </c>
      <c r="F1203" s="90"/>
      <c r="G1203" s="90">
        <v>3.6</v>
      </c>
      <c r="H1203" s="89">
        <f t="shared" si="298"/>
        <v>164.16</v>
      </c>
      <c r="I1203" s="90"/>
      <c r="J1203" s="90"/>
      <c r="K1203" s="163"/>
      <c r="L1203" s="163"/>
      <c r="M1203" s="158"/>
      <c r="O1203" s="82">
        <f t="shared" si="273"/>
        <v>0</v>
      </c>
    </row>
    <row r="1204" spans="1:15" ht="16.5" customHeight="1" x14ac:dyDescent="0.2">
      <c r="A1204" s="40"/>
      <c r="B1204" s="45"/>
      <c r="C1204" s="41"/>
      <c r="D1204" s="41">
        <v>2</v>
      </c>
      <c r="E1204" s="90">
        <v>7.1</v>
      </c>
      <c r="F1204" s="90"/>
      <c r="G1204" s="90">
        <v>3.6</v>
      </c>
      <c r="H1204" s="89">
        <f t="shared" si="298"/>
        <v>51.12</v>
      </c>
      <c r="I1204" s="90"/>
      <c r="J1204" s="90"/>
      <c r="K1204" s="163"/>
      <c r="L1204" s="163"/>
      <c r="M1204" s="158"/>
      <c r="O1204" s="82">
        <f t="shared" si="273"/>
        <v>0</v>
      </c>
    </row>
    <row r="1205" spans="1:15" ht="16.5" customHeight="1" x14ac:dyDescent="0.2">
      <c r="A1205" s="40"/>
      <c r="B1205" s="45" t="s">
        <v>508</v>
      </c>
      <c r="C1205" s="41"/>
      <c r="D1205" s="41">
        <v>2</v>
      </c>
      <c r="E1205" s="90">
        <f>25.9+1*2</f>
        <v>27.9</v>
      </c>
      <c r="F1205" s="90"/>
      <c r="G1205" s="90">
        <v>3.6</v>
      </c>
      <c r="H1205" s="89">
        <f t="shared" si="298"/>
        <v>200.88</v>
      </c>
      <c r="I1205" s="90"/>
      <c r="J1205" s="90"/>
      <c r="K1205" s="163"/>
      <c r="L1205" s="163"/>
      <c r="M1205" s="158"/>
      <c r="O1205" s="82">
        <f t="shared" si="273"/>
        <v>0</v>
      </c>
    </row>
    <row r="1206" spans="1:15" ht="16.5" customHeight="1" x14ac:dyDescent="0.2">
      <c r="A1206" s="40"/>
      <c r="B1206" s="45"/>
      <c r="C1206" s="41"/>
      <c r="D1206" s="41">
        <v>2</v>
      </c>
      <c r="E1206" s="90">
        <f>8.6</f>
        <v>8.6</v>
      </c>
      <c r="F1206" s="90"/>
      <c r="G1206" s="90">
        <v>3.6</v>
      </c>
      <c r="H1206" s="89">
        <f t="shared" si="298"/>
        <v>61.92</v>
      </c>
      <c r="I1206" s="90"/>
      <c r="J1206" s="90"/>
      <c r="K1206" s="163"/>
      <c r="L1206" s="163"/>
      <c r="M1206" s="158"/>
      <c r="O1206" s="82">
        <f t="shared" si="273"/>
        <v>0</v>
      </c>
    </row>
    <row r="1207" spans="1:15" ht="16.5" customHeight="1" x14ac:dyDescent="0.2">
      <c r="A1207" s="40"/>
      <c r="B1207" s="45" t="s">
        <v>423</v>
      </c>
      <c r="C1207" s="41"/>
      <c r="D1207" s="41">
        <v>2</v>
      </c>
      <c r="E1207" s="90">
        <f>12.9+1*2</f>
        <v>14.9</v>
      </c>
      <c r="F1207" s="90"/>
      <c r="G1207" s="90">
        <v>3.6</v>
      </c>
      <c r="H1207" s="89">
        <f t="shared" si="298"/>
        <v>107.28</v>
      </c>
      <c r="I1207" s="90"/>
      <c r="J1207" s="90"/>
      <c r="K1207" s="163"/>
      <c r="L1207" s="163"/>
      <c r="M1207" s="158"/>
      <c r="O1207" s="82">
        <f t="shared" si="273"/>
        <v>0</v>
      </c>
    </row>
    <row r="1208" spans="1:15" ht="16.5" customHeight="1" x14ac:dyDescent="0.2">
      <c r="A1208" s="40"/>
      <c r="B1208" s="45"/>
      <c r="C1208" s="41"/>
      <c r="D1208" s="41">
        <v>2</v>
      </c>
      <c r="E1208" s="90">
        <v>10.55</v>
      </c>
      <c r="F1208" s="90"/>
      <c r="G1208" s="90">
        <v>3.6</v>
      </c>
      <c r="H1208" s="89">
        <f t="shared" si="298"/>
        <v>75.960000000000008</v>
      </c>
      <c r="I1208" s="90"/>
      <c r="J1208" s="90"/>
      <c r="K1208" s="163"/>
      <c r="L1208" s="163"/>
      <c r="M1208" s="158"/>
      <c r="O1208" s="82">
        <f t="shared" si="273"/>
        <v>0</v>
      </c>
    </row>
    <row r="1209" spans="1:15" ht="16.5" customHeight="1" x14ac:dyDescent="0.2">
      <c r="A1209" s="40"/>
      <c r="B1209" s="45" t="s">
        <v>526</v>
      </c>
      <c r="C1209" s="41"/>
      <c r="D1209" s="41">
        <v>2</v>
      </c>
      <c r="E1209" s="90">
        <f>5.6+1*2</f>
        <v>7.6</v>
      </c>
      <c r="F1209" s="90"/>
      <c r="G1209" s="90">
        <v>3.6</v>
      </c>
      <c r="H1209" s="89">
        <f t="shared" si="298"/>
        <v>54.72</v>
      </c>
      <c r="I1209" s="90"/>
      <c r="J1209" s="90"/>
      <c r="K1209" s="163"/>
      <c r="L1209" s="163"/>
      <c r="M1209" s="158"/>
      <c r="O1209" s="82">
        <f t="shared" si="273"/>
        <v>0</v>
      </c>
    </row>
    <row r="1210" spans="1:15" ht="16.5" customHeight="1" x14ac:dyDescent="0.2">
      <c r="A1210" s="40"/>
      <c r="B1210" s="45"/>
      <c r="C1210" s="41"/>
      <c r="D1210" s="41">
        <v>2</v>
      </c>
      <c r="E1210" s="90">
        <v>4.5999999999999996</v>
      </c>
      <c r="F1210" s="90"/>
      <c r="G1210" s="90">
        <v>3.6</v>
      </c>
      <c r="H1210" s="89">
        <f t="shared" si="298"/>
        <v>33.119999999999997</v>
      </c>
      <c r="I1210" s="90"/>
      <c r="J1210" s="90"/>
      <c r="K1210" s="163"/>
      <c r="L1210" s="163"/>
      <c r="M1210" s="158"/>
      <c r="O1210" s="82">
        <f t="shared" si="273"/>
        <v>0</v>
      </c>
    </row>
    <row r="1211" spans="1:15" ht="16.5" customHeight="1" x14ac:dyDescent="0.2">
      <c r="A1211" s="40"/>
      <c r="B1211" s="45"/>
      <c r="C1211" s="41"/>
      <c r="D1211" s="41"/>
      <c r="E1211" s="90"/>
      <c r="F1211" s="90"/>
      <c r="G1211" s="90"/>
      <c r="H1211" s="89">
        <f t="shared" si="298"/>
        <v>0</v>
      </c>
      <c r="I1211" s="90"/>
      <c r="J1211" s="90"/>
      <c r="K1211" s="163"/>
      <c r="L1211" s="163"/>
      <c r="M1211" s="158"/>
      <c r="O1211" s="82">
        <f t="shared" si="273"/>
        <v>0</v>
      </c>
    </row>
    <row r="1212" spans="1:15" s="83" customFormat="1" ht="18" customHeight="1" x14ac:dyDescent="0.2">
      <c r="A1212" s="66" t="s">
        <v>58</v>
      </c>
      <c r="B1212" s="54" t="s">
        <v>309</v>
      </c>
      <c r="C1212" s="67" t="s">
        <v>4</v>
      </c>
      <c r="D1212" s="67"/>
      <c r="E1212" s="92"/>
      <c r="F1212" s="92"/>
      <c r="G1212" s="92"/>
      <c r="H1212" s="92"/>
      <c r="I1212" s="92"/>
      <c r="J1212" s="92">
        <f>SUM(I1213:I1326)</f>
        <v>4266.1000000000004</v>
      </c>
      <c r="K1212" s="163">
        <v>4300</v>
      </c>
      <c r="L1212" s="166">
        <v>18</v>
      </c>
      <c r="M1212" s="158">
        <f>+L1212*K1212</f>
        <v>77400</v>
      </c>
      <c r="N1212" s="68"/>
      <c r="O1212" s="82">
        <f t="shared" si="273"/>
        <v>33.899999999999636</v>
      </c>
    </row>
    <row r="1213" spans="1:15" s="5" customFormat="1" ht="16.149999999999999" customHeight="1" x14ac:dyDescent="0.2">
      <c r="A1213" s="30"/>
      <c r="B1213" s="98" t="s">
        <v>464</v>
      </c>
      <c r="C1213" s="32"/>
      <c r="D1213" s="32"/>
      <c r="E1213" s="89"/>
      <c r="F1213" s="89"/>
      <c r="G1213" s="89"/>
      <c r="H1213" s="89"/>
      <c r="I1213" s="89"/>
      <c r="K1213" s="157"/>
      <c r="L1213" s="157"/>
      <c r="M1213" s="158"/>
      <c r="O1213" s="82">
        <f t="shared" si="273"/>
        <v>0</v>
      </c>
    </row>
    <row r="1214" spans="1:15" s="5" customFormat="1" ht="16.149999999999999" customHeight="1" x14ac:dyDescent="0.2">
      <c r="A1214" s="30"/>
      <c r="B1214" s="105" t="s">
        <v>474</v>
      </c>
      <c r="C1214" s="32"/>
      <c r="D1214" s="32"/>
      <c r="E1214" s="89"/>
      <c r="F1214" s="89"/>
      <c r="G1214" s="89"/>
      <c r="I1214" s="89"/>
      <c r="K1214" s="157"/>
      <c r="L1214" s="157"/>
      <c r="M1214" s="158"/>
      <c r="O1214" s="82">
        <f t="shared" si="273"/>
        <v>0</v>
      </c>
    </row>
    <row r="1215" spans="1:15" s="5" customFormat="1" ht="16.149999999999999" customHeight="1" x14ac:dyDescent="0.2">
      <c r="A1215" s="30"/>
      <c r="B1215" s="44" t="s">
        <v>494</v>
      </c>
      <c r="C1215" s="41"/>
      <c r="D1215" s="41">
        <v>4</v>
      </c>
      <c r="E1215" s="109">
        <v>6.6</v>
      </c>
      <c r="F1215" s="109"/>
      <c r="G1215" s="109">
        <v>3.1</v>
      </c>
      <c r="H1215" s="89">
        <f>PRODUCT(D1215:G1215)</f>
        <v>81.84</v>
      </c>
      <c r="I1215" s="89"/>
      <c r="K1215" s="157"/>
      <c r="L1215" s="157"/>
      <c r="M1215" s="158"/>
      <c r="O1215" s="82">
        <f t="shared" si="273"/>
        <v>0</v>
      </c>
    </row>
    <row r="1216" spans="1:15" s="5" customFormat="1" ht="16.149999999999999" customHeight="1" x14ac:dyDescent="0.2">
      <c r="A1216" s="30"/>
      <c r="B1216" s="44"/>
      <c r="C1216" s="41"/>
      <c r="D1216" s="41">
        <v>4</v>
      </c>
      <c r="E1216" s="109">
        <v>8.6</v>
      </c>
      <c r="F1216" s="109"/>
      <c r="G1216" s="109">
        <v>3.1</v>
      </c>
      <c r="H1216" s="89">
        <f t="shared" ref="H1216:H1220" si="299">PRODUCT(D1216:G1216)</f>
        <v>106.64</v>
      </c>
      <c r="I1216" s="89"/>
      <c r="K1216" s="157"/>
      <c r="L1216" s="157"/>
      <c r="M1216" s="158"/>
      <c r="O1216" s="82">
        <f t="shared" si="273"/>
        <v>0</v>
      </c>
    </row>
    <row r="1217" spans="1:15" s="5" customFormat="1" ht="16.149999999999999" customHeight="1" x14ac:dyDescent="0.2">
      <c r="A1217" s="30"/>
      <c r="B1217" s="44"/>
      <c r="C1217" s="41"/>
      <c r="D1217" s="41">
        <v>4</v>
      </c>
      <c r="E1217" s="109">
        <v>0.6</v>
      </c>
      <c r="F1217" s="109"/>
      <c r="G1217" s="109">
        <v>3.1</v>
      </c>
      <c r="H1217" s="89">
        <f t="shared" si="299"/>
        <v>7.4399999999999995</v>
      </c>
      <c r="I1217" s="89"/>
      <c r="K1217" s="157"/>
      <c r="L1217" s="157"/>
      <c r="M1217" s="158"/>
      <c r="O1217" s="82">
        <f t="shared" si="273"/>
        <v>0</v>
      </c>
    </row>
    <row r="1218" spans="1:15" s="5" customFormat="1" ht="16.149999999999999" customHeight="1" x14ac:dyDescent="0.2">
      <c r="A1218" s="30"/>
      <c r="B1218" s="110" t="s">
        <v>480</v>
      </c>
      <c r="C1218" s="41"/>
      <c r="D1218" s="41"/>
      <c r="E1218" s="109"/>
      <c r="F1218" s="109"/>
      <c r="G1218" s="109"/>
      <c r="H1218" s="89">
        <f t="shared" si="299"/>
        <v>0</v>
      </c>
      <c r="I1218" s="89"/>
      <c r="K1218" s="157"/>
      <c r="L1218" s="157"/>
      <c r="M1218" s="158"/>
      <c r="O1218" s="82">
        <f t="shared" si="273"/>
        <v>0</v>
      </c>
    </row>
    <row r="1219" spans="1:15" ht="15.95" customHeight="1" x14ac:dyDescent="0.2">
      <c r="A1219" s="30"/>
      <c r="B1219" s="41" t="s">
        <v>424</v>
      </c>
      <c r="C1219" s="41"/>
      <c r="D1219" s="41">
        <v>-12</v>
      </c>
      <c r="E1219" s="90">
        <v>0.9</v>
      </c>
      <c r="F1219" s="90"/>
      <c r="G1219" s="90">
        <v>1.2</v>
      </c>
      <c r="H1219" s="89">
        <f t="shared" si="299"/>
        <v>-12.96</v>
      </c>
      <c r="I1219" s="89"/>
      <c r="J1219" s="90"/>
      <c r="K1219" s="157"/>
      <c r="L1219" s="157"/>
      <c r="M1219" s="158"/>
      <c r="O1219" s="82">
        <f t="shared" si="273"/>
        <v>0</v>
      </c>
    </row>
    <row r="1220" spans="1:15" ht="15.95" customHeight="1" x14ac:dyDescent="0.2">
      <c r="A1220" s="30"/>
      <c r="B1220" s="41" t="s">
        <v>481</v>
      </c>
      <c r="C1220" s="41"/>
      <c r="D1220" s="41">
        <v>-1</v>
      </c>
      <c r="E1220" s="90">
        <v>0.9</v>
      </c>
      <c r="F1220" s="90"/>
      <c r="G1220" s="90">
        <v>2.4</v>
      </c>
      <c r="H1220" s="89">
        <f t="shared" si="299"/>
        <v>-2.16</v>
      </c>
      <c r="I1220" s="89"/>
      <c r="J1220" s="108"/>
      <c r="K1220" s="157"/>
      <c r="L1220" s="157"/>
      <c r="M1220" s="158"/>
      <c r="O1220" s="82">
        <f t="shared" si="273"/>
        <v>0</v>
      </c>
    </row>
    <row r="1221" spans="1:15" ht="15.95" customHeight="1" x14ac:dyDescent="0.2">
      <c r="A1221" s="30"/>
      <c r="B1221" s="46"/>
      <c r="C1221" s="41"/>
      <c r="D1221" s="41"/>
      <c r="E1221" s="90"/>
      <c r="F1221" s="90"/>
      <c r="G1221" s="90"/>
      <c r="H1221" s="89"/>
      <c r="I1221" s="89"/>
      <c r="J1221" s="108"/>
      <c r="K1221" s="157"/>
      <c r="L1221" s="157"/>
      <c r="M1221" s="158"/>
      <c r="O1221" s="82">
        <f t="shared" si="273"/>
        <v>0</v>
      </c>
    </row>
    <row r="1222" spans="1:15" s="5" customFormat="1" ht="16.149999999999999" customHeight="1" x14ac:dyDescent="0.2">
      <c r="A1222" s="30"/>
      <c r="B1222" s="44" t="s">
        <v>495</v>
      </c>
      <c r="C1222" s="41"/>
      <c r="D1222" s="41">
        <v>2</v>
      </c>
      <c r="E1222" s="109">
        <v>4</v>
      </c>
      <c r="F1222" s="109"/>
      <c r="G1222" s="109">
        <v>3.1</v>
      </c>
      <c r="H1222" s="89">
        <f>PRODUCT(D1222:G1222)</f>
        <v>24.8</v>
      </c>
      <c r="I1222" s="89"/>
      <c r="K1222" s="157"/>
      <c r="L1222" s="157"/>
      <c r="M1222" s="158"/>
      <c r="O1222" s="82">
        <f t="shared" ref="O1222:O1285" si="300">K1222-J1222</f>
        <v>0</v>
      </c>
    </row>
    <row r="1223" spans="1:15" s="5" customFormat="1" ht="16.149999999999999" customHeight="1" x14ac:dyDescent="0.2">
      <c r="A1223" s="30"/>
      <c r="B1223" s="44"/>
      <c r="C1223" s="41"/>
      <c r="D1223" s="41">
        <v>1</v>
      </c>
      <c r="E1223" s="109">
        <v>3.4</v>
      </c>
      <c r="F1223" s="109"/>
      <c r="G1223" s="109">
        <v>3.1</v>
      </c>
      <c r="H1223" s="89">
        <f t="shared" ref="H1223:H1224" si="301">PRODUCT(D1223:G1223)</f>
        <v>10.54</v>
      </c>
      <c r="I1223" s="89"/>
      <c r="K1223" s="157"/>
      <c r="L1223" s="157"/>
      <c r="M1223" s="158"/>
      <c r="O1223" s="82">
        <f t="shared" si="300"/>
        <v>0</v>
      </c>
    </row>
    <row r="1224" spans="1:15" s="5" customFormat="1" ht="16.149999999999999" customHeight="1" x14ac:dyDescent="0.2">
      <c r="A1224" s="30"/>
      <c r="B1224" s="44"/>
      <c r="C1224" s="41"/>
      <c r="D1224" s="41">
        <v>2</v>
      </c>
      <c r="E1224" s="109">
        <v>2.5</v>
      </c>
      <c r="F1224" s="109"/>
      <c r="G1224" s="109">
        <v>3.1</v>
      </c>
      <c r="H1224" s="89">
        <f t="shared" si="301"/>
        <v>15.5</v>
      </c>
      <c r="I1224" s="89"/>
      <c r="K1224" s="157"/>
      <c r="L1224" s="157"/>
      <c r="M1224" s="158"/>
      <c r="O1224" s="82">
        <f t="shared" si="300"/>
        <v>0</v>
      </c>
    </row>
    <row r="1225" spans="1:15" ht="15.95" customHeight="1" x14ac:dyDescent="0.2">
      <c r="A1225" s="30"/>
      <c r="B1225" s="46"/>
      <c r="C1225" s="41"/>
      <c r="D1225" s="41"/>
      <c r="E1225" s="90"/>
      <c r="F1225" s="90"/>
      <c r="G1225" s="90"/>
      <c r="H1225" s="89"/>
      <c r="I1225" s="89"/>
      <c r="J1225" s="108"/>
      <c r="K1225" s="157"/>
      <c r="L1225" s="157"/>
      <c r="M1225" s="158"/>
      <c r="O1225" s="82">
        <f t="shared" si="300"/>
        <v>0</v>
      </c>
    </row>
    <row r="1226" spans="1:15" ht="15.95" customHeight="1" x14ac:dyDescent="0.2">
      <c r="A1226" s="30"/>
      <c r="B1226" s="46"/>
      <c r="C1226" s="41"/>
      <c r="D1226" s="41"/>
      <c r="E1226" s="90"/>
      <c r="F1226" s="90"/>
      <c r="G1226" s="90"/>
      <c r="H1226" s="89"/>
      <c r="I1226" s="89"/>
      <c r="J1226" s="108"/>
      <c r="K1226" s="157"/>
      <c r="L1226" s="157"/>
      <c r="M1226" s="158"/>
      <c r="O1226" s="82">
        <f t="shared" si="300"/>
        <v>0</v>
      </c>
    </row>
    <row r="1227" spans="1:15" ht="15.95" customHeight="1" x14ac:dyDescent="0.2">
      <c r="A1227" s="30"/>
      <c r="B1227" s="105" t="s">
        <v>475</v>
      </c>
      <c r="C1227" s="41"/>
      <c r="D1227" s="41"/>
      <c r="E1227" s="90"/>
      <c r="F1227" s="90"/>
      <c r="G1227" s="90"/>
      <c r="H1227" s="89">
        <f t="shared" ref="H1227" si="302">PRODUCT(D1227:G1227)</f>
        <v>0</v>
      </c>
      <c r="I1227" s="89">
        <f t="shared" ref="I1227" si="303">PRODUCT(E1227:H1227)</f>
        <v>0</v>
      </c>
      <c r="J1227" s="90"/>
      <c r="K1227" s="157"/>
      <c r="L1227" s="157"/>
      <c r="M1227" s="158"/>
      <c r="O1227" s="82">
        <f t="shared" si="300"/>
        <v>0</v>
      </c>
    </row>
    <row r="1228" spans="1:15" s="5" customFormat="1" ht="16.149999999999999" customHeight="1" x14ac:dyDescent="0.2">
      <c r="A1228" s="30"/>
      <c r="B1228" s="44" t="s">
        <v>494</v>
      </c>
      <c r="C1228" s="41"/>
      <c r="D1228" s="41">
        <v>4</v>
      </c>
      <c r="E1228" s="109">
        <v>6.6</v>
      </c>
      <c r="F1228" s="109"/>
      <c r="G1228" s="109">
        <v>3.1</v>
      </c>
      <c r="H1228" s="89">
        <f>PRODUCT(D1228:G1228)</f>
        <v>81.84</v>
      </c>
      <c r="I1228" s="89"/>
      <c r="K1228" s="157"/>
      <c r="L1228" s="157"/>
      <c r="M1228" s="158"/>
      <c r="O1228" s="82">
        <f t="shared" si="300"/>
        <v>0</v>
      </c>
    </row>
    <row r="1229" spans="1:15" s="5" customFormat="1" ht="16.149999999999999" customHeight="1" x14ac:dyDescent="0.2">
      <c r="A1229" s="30"/>
      <c r="B1229" s="44"/>
      <c r="C1229" s="41"/>
      <c r="D1229" s="41">
        <v>4</v>
      </c>
      <c r="E1229" s="109">
        <v>8.6</v>
      </c>
      <c r="F1229" s="109"/>
      <c r="G1229" s="109">
        <v>3.1</v>
      </c>
      <c r="H1229" s="89">
        <f t="shared" ref="H1229:H1237" si="304">PRODUCT(D1229:G1229)</f>
        <v>106.64</v>
      </c>
      <c r="I1229" s="89"/>
      <c r="K1229" s="157"/>
      <c r="L1229" s="157"/>
      <c r="M1229" s="158"/>
      <c r="O1229" s="82">
        <f t="shared" si="300"/>
        <v>0</v>
      </c>
    </row>
    <row r="1230" spans="1:15" s="5" customFormat="1" ht="16.149999999999999" customHeight="1" x14ac:dyDescent="0.2">
      <c r="A1230" s="30"/>
      <c r="B1230" s="44"/>
      <c r="C1230" s="41"/>
      <c r="D1230" s="41">
        <v>4</v>
      </c>
      <c r="E1230" s="109">
        <v>0.6</v>
      </c>
      <c r="F1230" s="109"/>
      <c r="G1230" s="109">
        <v>3.1</v>
      </c>
      <c r="H1230" s="89">
        <f t="shared" si="304"/>
        <v>7.4399999999999995</v>
      </c>
      <c r="I1230" s="89"/>
      <c r="K1230" s="157"/>
      <c r="L1230" s="157"/>
      <c r="M1230" s="158"/>
      <c r="O1230" s="82">
        <f t="shared" si="300"/>
        <v>0</v>
      </c>
    </row>
    <row r="1231" spans="1:15" s="5" customFormat="1" ht="16.149999999999999" customHeight="1" x14ac:dyDescent="0.2">
      <c r="A1231" s="30"/>
      <c r="B1231" s="110" t="s">
        <v>480</v>
      </c>
      <c r="C1231" s="41"/>
      <c r="D1231" s="41"/>
      <c r="E1231" s="109"/>
      <c r="F1231" s="109"/>
      <c r="G1231" s="109"/>
      <c r="H1231" s="89">
        <f t="shared" si="304"/>
        <v>0</v>
      </c>
      <c r="I1231" s="89"/>
      <c r="K1231" s="157"/>
      <c r="L1231" s="157"/>
      <c r="M1231" s="158"/>
      <c r="O1231" s="82">
        <f t="shared" si="300"/>
        <v>0</v>
      </c>
    </row>
    <row r="1232" spans="1:15" ht="15.95" customHeight="1" x14ac:dyDescent="0.2">
      <c r="A1232" s="30"/>
      <c r="B1232" s="41" t="s">
        <v>424</v>
      </c>
      <c r="C1232" s="41"/>
      <c r="D1232" s="41">
        <v>-12</v>
      </c>
      <c r="E1232" s="90">
        <v>0.9</v>
      </c>
      <c r="F1232" s="90"/>
      <c r="G1232" s="90">
        <v>1.2</v>
      </c>
      <c r="H1232" s="89">
        <f t="shared" si="304"/>
        <v>-12.96</v>
      </c>
      <c r="I1232" s="89"/>
      <c r="J1232" s="90"/>
      <c r="K1232" s="157"/>
      <c r="L1232" s="157"/>
      <c r="M1232" s="158"/>
      <c r="O1232" s="82">
        <f t="shared" si="300"/>
        <v>0</v>
      </c>
    </row>
    <row r="1233" spans="1:15" ht="15.95" customHeight="1" x14ac:dyDescent="0.2">
      <c r="A1233" s="30"/>
      <c r="B1233" s="41" t="s">
        <v>481</v>
      </c>
      <c r="C1233" s="41"/>
      <c r="D1233" s="41">
        <v>-1</v>
      </c>
      <c r="E1233" s="90">
        <v>0.9</v>
      </c>
      <c r="F1233" s="90"/>
      <c r="G1233" s="90">
        <v>2.4</v>
      </c>
      <c r="H1233" s="89">
        <f t="shared" si="304"/>
        <v>-2.16</v>
      </c>
      <c r="I1233" s="89"/>
      <c r="J1233" s="108"/>
      <c r="K1233" s="157"/>
      <c r="L1233" s="157"/>
      <c r="M1233" s="158"/>
      <c r="O1233" s="82">
        <f t="shared" si="300"/>
        <v>0</v>
      </c>
    </row>
    <row r="1234" spans="1:15" ht="15.95" customHeight="1" x14ac:dyDescent="0.2">
      <c r="A1234" s="30"/>
      <c r="B1234" s="46"/>
      <c r="C1234" s="41"/>
      <c r="D1234" s="41"/>
      <c r="E1234" s="90"/>
      <c r="F1234" s="90"/>
      <c r="G1234" s="90"/>
      <c r="H1234" s="89">
        <f t="shared" si="304"/>
        <v>0</v>
      </c>
      <c r="I1234" s="89"/>
      <c r="J1234" s="108"/>
      <c r="K1234" s="157"/>
      <c r="L1234" s="157"/>
      <c r="M1234" s="158"/>
      <c r="O1234" s="82">
        <f t="shared" si="300"/>
        <v>0</v>
      </c>
    </row>
    <row r="1235" spans="1:15" s="5" customFormat="1" ht="16.149999999999999" customHeight="1" x14ac:dyDescent="0.2">
      <c r="A1235" s="30"/>
      <c r="B1235" s="44" t="s">
        <v>495</v>
      </c>
      <c r="C1235" s="41"/>
      <c r="D1235" s="41">
        <v>2</v>
      </c>
      <c r="E1235" s="109">
        <v>4</v>
      </c>
      <c r="F1235" s="109"/>
      <c r="G1235" s="109">
        <v>3.1</v>
      </c>
      <c r="H1235" s="89">
        <f t="shared" si="304"/>
        <v>24.8</v>
      </c>
      <c r="I1235" s="89"/>
      <c r="K1235" s="157"/>
      <c r="L1235" s="157"/>
      <c r="M1235" s="158"/>
      <c r="O1235" s="82">
        <f t="shared" si="300"/>
        <v>0</v>
      </c>
    </row>
    <row r="1236" spans="1:15" s="5" customFormat="1" ht="16.149999999999999" customHeight="1" x14ac:dyDescent="0.2">
      <c r="A1236" s="30"/>
      <c r="B1236" s="44"/>
      <c r="C1236" s="41"/>
      <c r="D1236" s="41">
        <v>1</v>
      </c>
      <c r="E1236" s="109">
        <v>3.4</v>
      </c>
      <c r="F1236" s="109"/>
      <c r="G1236" s="109">
        <v>3.1</v>
      </c>
      <c r="H1236" s="89">
        <f t="shared" si="304"/>
        <v>10.54</v>
      </c>
      <c r="I1236" s="89"/>
      <c r="K1236" s="157"/>
      <c r="L1236" s="157"/>
      <c r="M1236" s="158"/>
      <c r="O1236" s="82">
        <f t="shared" si="300"/>
        <v>0</v>
      </c>
    </row>
    <row r="1237" spans="1:15" s="5" customFormat="1" ht="16.149999999999999" customHeight="1" x14ac:dyDescent="0.2">
      <c r="A1237" s="30"/>
      <c r="B1237" s="44"/>
      <c r="C1237" s="41"/>
      <c r="D1237" s="41">
        <v>2</v>
      </c>
      <c r="E1237" s="109">
        <v>2.5</v>
      </c>
      <c r="F1237" s="109"/>
      <c r="G1237" s="109">
        <v>3.1</v>
      </c>
      <c r="H1237" s="89">
        <f t="shared" si="304"/>
        <v>15.5</v>
      </c>
      <c r="I1237" s="89"/>
      <c r="K1237" s="157"/>
      <c r="L1237" s="157"/>
      <c r="M1237" s="158"/>
      <c r="O1237" s="82">
        <f t="shared" si="300"/>
        <v>0</v>
      </c>
    </row>
    <row r="1238" spans="1:15" ht="15.95" customHeight="1" x14ac:dyDescent="0.2">
      <c r="A1238" s="30"/>
      <c r="B1238" s="46"/>
      <c r="C1238" s="41"/>
      <c r="D1238" s="41"/>
      <c r="E1238" s="90"/>
      <c r="F1238" s="90"/>
      <c r="G1238" s="90"/>
      <c r="H1238" s="89"/>
      <c r="I1238" s="89">
        <f>SUM(H1214:H1237)</f>
        <v>463.28000000000003</v>
      </c>
      <c r="J1238" s="108"/>
      <c r="K1238" s="157"/>
      <c r="L1238" s="157"/>
      <c r="M1238" s="158"/>
      <c r="O1238" s="82">
        <f t="shared" si="300"/>
        <v>0</v>
      </c>
    </row>
    <row r="1239" spans="1:15" ht="15.95" customHeight="1" x14ac:dyDescent="0.2">
      <c r="A1239" s="30"/>
      <c r="B1239" s="46"/>
      <c r="C1239" s="41"/>
      <c r="D1239" s="41"/>
      <c r="E1239" s="90"/>
      <c r="F1239" s="90"/>
      <c r="G1239" s="90"/>
      <c r="H1239" s="89"/>
      <c r="I1239" s="89">
        <f t="shared" ref="I1239" si="305">PRODUCT(E1239:H1239)</f>
        <v>0</v>
      </c>
      <c r="J1239" s="90"/>
      <c r="K1239" s="157"/>
      <c r="L1239" s="157"/>
      <c r="M1239" s="158"/>
      <c r="O1239" s="82">
        <f t="shared" si="300"/>
        <v>0</v>
      </c>
    </row>
    <row r="1240" spans="1:15" s="5" customFormat="1" ht="16.149999999999999" customHeight="1" x14ac:dyDescent="0.2">
      <c r="A1240" s="30"/>
      <c r="B1240" s="98" t="s">
        <v>465</v>
      </c>
      <c r="C1240" s="32"/>
      <c r="D1240" s="32"/>
      <c r="E1240" s="89"/>
      <c r="F1240" s="89"/>
      <c r="G1240" s="89"/>
      <c r="H1240" s="89">
        <f t="shared" ref="H1240:H1245" si="306">PRODUCT(D1240:G1240)</f>
        <v>0</v>
      </c>
      <c r="I1240" s="89"/>
      <c r="J1240" s="89"/>
      <c r="K1240" s="157"/>
      <c r="L1240" s="157"/>
      <c r="M1240" s="158"/>
      <c r="O1240" s="82">
        <f t="shared" si="300"/>
        <v>0</v>
      </c>
    </row>
    <row r="1241" spans="1:15" s="5" customFormat="1" ht="16.149999999999999" customHeight="1" x14ac:dyDescent="0.2">
      <c r="A1241" s="30"/>
      <c r="B1241" s="44" t="s">
        <v>485</v>
      </c>
      <c r="C1241" s="41"/>
      <c r="D1241" s="41">
        <v>2</v>
      </c>
      <c r="E1241" s="109">
        <v>5.0999999999999996</v>
      </c>
      <c r="F1241" s="109"/>
      <c r="G1241" s="109">
        <v>3.1</v>
      </c>
      <c r="H1241" s="89">
        <f t="shared" si="306"/>
        <v>31.619999999999997</v>
      </c>
      <c r="I1241" s="89"/>
      <c r="K1241" s="157"/>
      <c r="L1241" s="157"/>
      <c r="M1241" s="158"/>
      <c r="O1241" s="82">
        <f t="shared" si="300"/>
        <v>0</v>
      </c>
    </row>
    <row r="1242" spans="1:15" ht="15.95" customHeight="1" x14ac:dyDescent="0.2">
      <c r="A1242" s="30"/>
      <c r="B1242" s="46"/>
      <c r="C1242" s="41"/>
      <c r="D1242" s="41">
        <v>2</v>
      </c>
      <c r="E1242" s="90">
        <v>3.1</v>
      </c>
      <c r="F1242" s="90"/>
      <c r="G1242" s="109">
        <v>3.1</v>
      </c>
      <c r="H1242" s="89">
        <f t="shared" si="306"/>
        <v>19.220000000000002</v>
      </c>
      <c r="I1242" s="90"/>
      <c r="J1242" s="90"/>
      <c r="K1242" s="157"/>
      <c r="L1242" s="157"/>
      <c r="M1242" s="158"/>
      <c r="O1242" s="82">
        <f t="shared" si="300"/>
        <v>0</v>
      </c>
    </row>
    <row r="1243" spans="1:15" s="5" customFormat="1" ht="16.149999999999999" customHeight="1" x14ac:dyDescent="0.2">
      <c r="A1243" s="30"/>
      <c r="B1243" s="110" t="s">
        <v>480</v>
      </c>
      <c r="C1243" s="41"/>
      <c r="D1243" s="41"/>
      <c r="E1243" s="109"/>
      <c r="F1243" s="109"/>
      <c r="G1243" s="109"/>
      <c r="H1243" s="89">
        <f t="shared" si="306"/>
        <v>0</v>
      </c>
      <c r="I1243" s="89"/>
      <c r="K1243" s="157"/>
      <c r="L1243" s="157"/>
      <c r="M1243" s="158"/>
      <c r="O1243" s="82">
        <f t="shared" si="300"/>
        <v>0</v>
      </c>
    </row>
    <row r="1244" spans="1:15" ht="15.95" customHeight="1" x14ac:dyDescent="0.2">
      <c r="A1244" s="30"/>
      <c r="B1244" s="41" t="s">
        <v>424</v>
      </c>
      <c r="C1244" s="41"/>
      <c r="D1244" s="41">
        <v>-1</v>
      </c>
      <c r="E1244" s="90">
        <v>0.9</v>
      </c>
      <c r="F1244" s="90"/>
      <c r="G1244" s="90">
        <v>1.2</v>
      </c>
      <c r="H1244" s="89">
        <f t="shared" si="306"/>
        <v>-1.08</v>
      </c>
      <c r="I1244" s="89"/>
      <c r="J1244" s="90"/>
      <c r="K1244" s="157"/>
      <c r="L1244" s="157"/>
      <c r="M1244" s="158"/>
      <c r="O1244" s="82">
        <f t="shared" si="300"/>
        <v>0</v>
      </c>
    </row>
    <row r="1245" spans="1:15" ht="15.95" customHeight="1" x14ac:dyDescent="0.2">
      <c r="A1245" s="30"/>
      <c r="B1245" s="41" t="s">
        <v>481</v>
      </c>
      <c r="C1245" s="41"/>
      <c r="D1245" s="41">
        <v>-1</v>
      </c>
      <c r="E1245" s="90">
        <v>0.9</v>
      </c>
      <c r="F1245" s="90"/>
      <c r="G1245" s="90">
        <v>2.2000000000000002</v>
      </c>
      <c r="H1245" s="89">
        <f t="shared" si="306"/>
        <v>-1.9800000000000002</v>
      </c>
      <c r="I1245" s="89"/>
      <c r="J1245" s="108"/>
      <c r="K1245" s="157"/>
      <c r="L1245" s="157"/>
      <c r="M1245" s="158"/>
      <c r="O1245" s="82">
        <f t="shared" si="300"/>
        <v>0</v>
      </c>
    </row>
    <row r="1246" spans="1:15" ht="15.95" customHeight="1" x14ac:dyDescent="0.2">
      <c r="A1246" s="30"/>
      <c r="B1246" s="41"/>
      <c r="C1246" s="41"/>
      <c r="D1246" s="41"/>
      <c r="E1246" s="90"/>
      <c r="F1246" s="90"/>
      <c r="G1246" s="90"/>
      <c r="H1246" s="89"/>
      <c r="I1246" s="89"/>
      <c r="J1246" s="108"/>
      <c r="K1246" s="157"/>
      <c r="L1246" s="157"/>
      <c r="M1246" s="158"/>
      <c r="O1246" s="82">
        <f t="shared" si="300"/>
        <v>0</v>
      </c>
    </row>
    <row r="1247" spans="1:15" s="5" customFormat="1" ht="16.149999999999999" customHeight="1" x14ac:dyDescent="0.2">
      <c r="A1247" s="30"/>
      <c r="B1247" s="44" t="s">
        <v>486</v>
      </c>
      <c r="C1247" s="41"/>
      <c r="D1247" s="41">
        <v>2</v>
      </c>
      <c r="E1247" s="109">
        <v>5.0999999999999996</v>
      </c>
      <c r="F1247" s="109"/>
      <c r="G1247" s="109">
        <v>3.1</v>
      </c>
      <c r="H1247" s="89">
        <f t="shared" ref="H1247:H1251" si="307">PRODUCT(D1247:G1247)</f>
        <v>31.619999999999997</v>
      </c>
      <c r="I1247" s="89"/>
      <c r="K1247" s="157"/>
      <c r="L1247" s="157"/>
      <c r="M1247" s="158"/>
      <c r="O1247" s="82">
        <f t="shared" si="300"/>
        <v>0</v>
      </c>
    </row>
    <row r="1248" spans="1:15" ht="15.95" customHeight="1" x14ac:dyDescent="0.2">
      <c r="A1248" s="30"/>
      <c r="B1248" s="46"/>
      <c r="C1248" s="41"/>
      <c r="D1248" s="41">
        <v>2</v>
      </c>
      <c r="E1248" s="90">
        <v>7.1</v>
      </c>
      <c r="F1248" s="90"/>
      <c r="G1248" s="109">
        <v>3.1</v>
      </c>
      <c r="H1248" s="89">
        <f t="shared" si="307"/>
        <v>44.019999999999996</v>
      </c>
      <c r="I1248" s="90"/>
      <c r="J1248" s="90"/>
      <c r="K1248" s="157"/>
      <c r="L1248" s="157"/>
      <c r="M1248" s="158"/>
      <c r="O1248" s="82">
        <f t="shared" si="300"/>
        <v>0</v>
      </c>
    </row>
    <row r="1249" spans="1:15" s="5" customFormat="1" ht="16.149999999999999" customHeight="1" x14ac:dyDescent="0.2">
      <c r="A1249" s="30"/>
      <c r="B1249" s="110" t="s">
        <v>480</v>
      </c>
      <c r="C1249" s="41"/>
      <c r="D1249" s="41"/>
      <c r="E1249" s="109"/>
      <c r="F1249" s="109"/>
      <c r="G1249" s="109"/>
      <c r="H1249" s="89">
        <f t="shared" si="307"/>
        <v>0</v>
      </c>
      <c r="I1249" s="89"/>
      <c r="K1249" s="157"/>
      <c r="L1249" s="157"/>
      <c r="M1249" s="158"/>
      <c r="O1249" s="82">
        <f t="shared" si="300"/>
        <v>0</v>
      </c>
    </row>
    <row r="1250" spans="1:15" ht="15.95" customHeight="1" x14ac:dyDescent="0.2">
      <c r="A1250" s="30"/>
      <c r="B1250" s="41" t="s">
        <v>424</v>
      </c>
      <c r="C1250" s="41"/>
      <c r="D1250" s="41">
        <v>-2</v>
      </c>
      <c r="E1250" s="90">
        <v>0.9</v>
      </c>
      <c r="F1250" s="90"/>
      <c r="G1250" s="90">
        <v>1.2</v>
      </c>
      <c r="H1250" s="89">
        <f t="shared" si="307"/>
        <v>-2.16</v>
      </c>
      <c r="I1250" s="89"/>
      <c r="J1250" s="90"/>
      <c r="K1250" s="157"/>
      <c r="L1250" s="157"/>
      <c r="M1250" s="158"/>
      <c r="O1250" s="82">
        <f t="shared" si="300"/>
        <v>0</v>
      </c>
    </row>
    <row r="1251" spans="1:15" ht="15.95" customHeight="1" x14ac:dyDescent="0.2">
      <c r="A1251" s="30"/>
      <c r="B1251" s="41" t="s">
        <v>481</v>
      </c>
      <c r="C1251" s="41"/>
      <c r="D1251" s="41">
        <v>-1</v>
      </c>
      <c r="E1251" s="90">
        <v>1.8</v>
      </c>
      <c r="F1251" s="90"/>
      <c r="G1251" s="90">
        <v>2.2000000000000002</v>
      </c>
      <c r="H1251" s="89">
        <f t="shared" si="307"/>
        <v>-3.9600000000000004</v>
      </c>
      <c r="I1251" s="89"/>
      <c r="J1251" s="108"/>
      <c r="K1251" s="157"/>
      <c r="L1251" s="157"/>
      <c r="M1251" s="158"/>
      <c r="O1251" s="82">
        <f t="shared" si="300"/>
        <v>0</v>
      </c>
    </row>
    <row r="1252" spans="1:15" ht="15.95" customHeight="1" x14ac:dyDescent="0.2">
      <c r="A1252" s="30"/>
      <c r="B1252" s="46"/>
      <c r="C1252" s="41"/>
      <c r="D1252" s="41"/>
      <c r="E1252" s="90"/>
      <c r="F1252" s="90"/>
      <c r="G1252" s="90"/>
      <c r="H1252" s="89"/>
      <c r="I1252" s="90"/>
      <c r="J1252" s="90"/>
      <c r="K1252" s="157"/>
      <c r="L1252" s="157"/>
      <c r="M1252" s="158"/>
      <c r="O1252" s="82">
        <f t="shared" si="300"/>
        <v>0</v>
      </c>
    </row>
    <row r="1253" spans="1:15" s="5" customFormat="1" ht="16.149999999999999" customHeight="1" x14ac:dyDescent="0.2">
      <c r="A1253" s="30"/>
      <c r="B1253" s="44" t="s">
        <v>488</v>
      </c>
      <c r="C1253" s="41"/>
      <c r="D1253" s="41">
        <v>2</v>
      </c>
      <c r="E1253" s="109">
        <v>4.8</v>
      </c>
      <c r="F1253" s="109"/>
      <c r="G1253" s="109">
        <v>3.1</v>
      </c>
      <c r="H1253" s="89">
        <f t="shared" ref="H1253:H1257" si="308">PRODUCT(D1253:G1253)</f>
        <v>29.759999999999998</v>
      </c>
      <c r="I1253" s="89"/>
      <c r="K1253" s="157"/>
      <c r="L1253" s="157"/>
      <c r="M1253" s="158"/>
      <c r="O1253" s="82">
        <f t="shared" si="300"/>
        <v>0</v>
      </c>
    </row>
    <row r="1254" spans="1:15" ht="15.95" customHeight="1" x14ac:dyDescent="0.2">
      <c r="A1254" s="30"/>
      <c r="B1254" s="46"/>
      <c r="C1254" s="41"/>
      <c r="D1254" s="41">
        <v>2</v>
      </c>
      <c r="E1254" s="90">
        <v>2.5</v>
      </c>
      <c r="F1254" s="90"/>
      <c r="G1254" s="109">
        <v>3.1</v>
      </c>
      <c r="H1254" s="89">
        <f t="shared" si="308"/>
        <v>15.5</v>
      </c>
      <c r="I1254" s="90"/>
      <c r="J1254" s="90"/>
      <c r="K1254" s="157"/>
      <c r="L1254" s="157"/>
      <c r="M1254" s="158"/>
      <c r="O1254" s="82">
        <f t="shared" si="300"/>
        <v>0</v>
      </c>
    </row>
    <row r="1255" spans="1:15" s="5" customFormat="1" ht="16.149999999999999" customHeight="1" x14ac:dyDescent="0.2">
      <c r="A1255" s="30"/>
      <c r="B1255" s="110" t="s">
        <v>480</v>
      </c>
      <c r="C1255" s="41"/>
      <c r="D1255" s="41"/>
      <c r="E1255" s="109"/>
      <c r="F1255" s="109"/>
      <c r="G1255" s="109"/>
      <c r="H1255" s="89">
        <f t="shared" si="308"/>
        <v>0</v>
      </c>
      <c r="I1255" s="89"/>
      <c r="K1255" s="157"/>
      <c r="L1255" s="157"/>
      <c r="M1255" s="158"/>
      <c r="O1255" s="82">
        <f t="shared" si="300"/>
        <v>0</v>
      </c>
    </row>
    <row r="1256" spans="1:15" ht="15.95" customHeight="1" x14ac:dyDescent="0.2">
      <c r="A1256" s="30"/>
      <c r="B1256" s="41" t="s">
        <v>424</v>
      </c>
      <c r="C1256" s="41"/>
      <c r="D1256" s="41">
        <v>-1</v>
      </c>
      <c r="E1256" s="90">
        <v>0.9</v>
      </c>
      <c r="F1256" s="90"/>
      <c r="G1256" s="90">
        <v>1.2</v>
      </c>
      <c r="H1256" s="89">
        <f t="shared" si="308"/>
        <v>-1.08</v>
      </c>
      <c r="I1256" s="89"/>
      <c r="J1256" s="90"/>
      <c r="K1256" s="157"/>
      <c r="L1256" s="157"/>
      <c r="M1256" s="158"/>
      <c r="O1256" s="82">
        <f t="shared" si="300"/>
        <v>0</v>
      </c>
    </row>
    <row r="1257" spans="1:15" ht="15.95" customHeight="1" x14ac:dyDescent="0.2">
      <c r="A1257" s="30"/>
      <c r="B1257" s="41" t="s">
        <v>481</v>
      </c>
      <c r="C1257" s="41"/>
      <c r="D1257" s="41">
        <v>-2</v>
      </c>
      <c r="E1257" s="90">
        <v>0.9</v>
      </c>
      <c r="F1257" s="90"/>
      <c r="G1257" s="90">
        <v>2.2000000000000002</v>
      </c>
      <c r="H1257" s="89">
        <f t="shared" si="308"/>
        <v>-3.9600000000000004</v>
      </c>
      <c r="I1257" s="89"/>
      <c r="J1257" s="108"/>
      <c r="K1257" s="157"/>
      <c r="L1257" s="157"/>
      <c r="M1257" s="158"/>
      <c r="O1257" s="82">
        <f t="shared" si="300"/>
        <v>0</v>
      </c>
    </row>
    <row r="1258" spans="1:15" ht="15.95" customHeight="1" x14ac:dyDescent="0.2">
      <c r="A1258" s="30"/>
      <c r="B1258" s="41"/>
      <c r="C1258" s="41"/>
      <c r="D1258" s="41"/>
      <c r="E1258" s="90"/>
      <c r="F1258" s="90"/>
      <c r="G1258" s="90"/>
      <c r="H1258" s="89"/>
      <c r="I1258" s="89"/>
      <c r="J1258" s="108"/>
      <c r="K1258" s="157"/>
      <c r="L1258" s="157"/>
      <c r="M1258" s="158"/>
      <c r="O1258" s="82">
        <f t="shared" si="300"/>
        <v>0</v>
      </c>
    </row>
    <row r="1259" spans="1:15" s="5" customFormat="1" ht="16.149999999999999" customHeight="1" x14ac:dyDescent="0.2">
      <c r="A1259" s="30"/>
      <c r="B1259" s="44" t="s">
        <v>479</v>
      </c>
      <c r="C1259" s="41"/>
      <c r="D1259" s="41">
        <v>2</v>
      </c>
      <c r="E1259" s="109">
        <v>4.3</v>
      </c>
      <c r="F1259" s="109"/>
      <c r="G1259" s="109">
        <f>3+0.1+0.25-0.45</f>
        <v>2.9</v>
      </c>
      <c r="H1259" s="89">
        <f t="shared" ref="H1259:H1263" si="309">PRODUCT(D1259:G1259)</f>
        <v>24.939999999999998</v>
      </c>
      <c r="I1259" s="89"/>
      <c r="K1259" s="157"/>
      <c r="L1259" s="157"/>
      <c r="M1259" s="158"/>
      <c r="O1259" s="82">
        <f t="shared" si="300"/>
        <v>0</v>
      </c>
    </row>
    <row r="1260" spans="1:15" ht="15.95" customHeight="1" x14ac:dyDescent="0.2">
      <c r="A1260" s="30"/>
      <c r="B1260" s="46"/>
      <c r="C1260" s="41"/>
      <c r="D1260" s="41">
        <v>2</v>
      </c>
      <c r="E1260" s="90">
        <v>2.9</v>
      </c>
      <c r="F1260" s="90"/>
      <c r="G1260" s="109">
        <f>3+0.1+0.25-0.45</f>
        <v>2.9</v>
      </c>
      <c r="H1260" s="89">
        <f t="shared" si="309"/>
        <v>16.82</v>
      </c>
      <c r="I1260" s="90"/>
      <c r="J1260" s="90"/>
      <c r="K1260" s="157"/>
      <c r="L1260" s="157"/>
      <c r="M1260" s="158"/>
      <c r="O1260" s="82">
        <f t="shared" si="300"/>
        <v>0</v>
      </c>
    </row>
    <row r="1261" spans="1:15" s="5" customFormat="1" ht="16.149999999999999" customHeight="1" x14ac:dyDescent="0.2">
      <c r="A1261" s="30"/>
      <c r="B1261" s="110" t="s">
        <v>480</v>
      </c>
      <c r="C1261" s="41"/>
      <c r="D1261" s="41"/>
      <c r="E1261" s="109"/>
      <c r="F1261" s="109"/>
      <c r="G1261" s="109"/>
      <c r="H1261" s="89">
        <f t="shared" si="309"/>
        <v>0</v>
      </c>
      <c r="I1261" s="89"/>
      <c r="K1261" s="157"/>
      <c r="L1261" s="157"/>
      <c r="M1261" s="158"/>
      <c r="O1261" s="82">
        <f t="shared" si="300"/>
        <v>0</v>
      </c>
    </row>
    <row r="1262" spans="1:15" ht="15.95" customHeight="1" x14ac:dyDescent="0.2">
      <c r="A1262" s="30"/>
      <c r="B1262" s="41" t="s">
        <v>424</v>
      </c>
      <c r="C1262" s="41"/>
      <c r="D1262" s="41">
        <v>-1</v>
      </c>
      <c r="E1262" s="90">
        <v>0.9</v>
      </c>
      <c r="F1262" s="90"/>
      <c r="G1262" s="90">
        <v>1.2</v>
      </c>
      <c r="H1262" s="89">
        <f t="shared" si="309"/>
        <v>-1.08</v>
      </c>
      <c r="I1262" s="89"/>
      <c r="J1262" s="90"/>
      <c r="K1262" s="157"/>
      <c r="L1262" s="157"/>
      <c r="M1262" s="158"/>
      <c r="O1262" s="82">
        <f t="shared" si="300"/>
        <v>0</v>
      </c>
    </row>
    <row r="1263" spans="1:15" ht="15.95" customHeight="1" x14ac:dyDescent="0.2">
      <c r="A1263" s="30"/>
      <c r="B1263" s="41" t="s">
        <v>481</v>
      </c>
      <c r="C1263" s="41"/>
      <c r="D1263" s="41">
        <v>-1</v>
      </c>
      <c r="E1263" s="90">
        <v>0.9</v>
      </c>
      <c r="F1263" s="90"/>
      <c r="G1263" s="90">
        <v>2.2000000000000002</v>
      </c>
      <c r="H1263" s="89">
        <f t="shared" si="309"/>
        <v>-1.9800000000000002</v>
      </c>
      <c r="I1263" s="89"/>
      <c r="J1263" s="108"/>
      <c r="K1263" s="157"/>
      <c r="L1263" s="157"/>
      <c r="M1263" s="158"/>
      <c r="O1263" s="82">
        <f t="shared" si="300"/>
        <v>0</v>
      </c>
    </row>
    <row r="1264" spans="1:15" ht="15.95" customHeight="1" x14ac:dyDescent="0.2">
      <c r="A1264" s="30"/>
      <c r="B1264" s="41"/>
      <c r="C1264" s="41"/>
      <c r="D1264" s="41"/>
      <c r="E1264" s="90"/>
      <c r="F1264" s="90"/>
      <c r="G1264" s="90"/>
      <c r="H1264" s="89"/>
      <c r="I1264" s="89"/>
      <c r="J1264" s="108"/>
      <c r="K1264" s="157"/>
      <c r="L1264" s="157"/>
      <c r="M1264" s="158"/>
      <c r="O1264" s="82">
        <f t="shared" si="300"/>
        <v>0</v>
      </c>
    </row>
    <row r="1265" spans="1:15" s="5" customFormat="1" ht="16.149999999999999" customHeight="1" x14ac:dyDescent="0.2">
      <c r="A1265" s="30"/>
      <c r="B1265" s="44" t="s">
        <v>496</v>
      </c>
      <c r="C1265" s="41"/>
      <c r="D1265" s="41">
        <v>2</v>
      </c>
      <c r="E1265" s="109">
        <v>7.1</v>
      </c>
      <c r="F1265" s="109"/>
      <c r="G1265" s="109">
        <v>3.1</v>
      </c>
      <c r="H1265" s="89">
        <f t="shared" ref="H1265:H1266" si="310">PRODUCT(D1265:G1265)</f>
        <v>44.019999999999996</v>
      </c>
      <c r="I1265" s="89"/>
      <c r="K1265" s="157"/>
      <c r="L1265" s="157"/>
      <c r="M1265" s="158"/>
      <c r="O1265" s="82">
        <f t="shared" si="300"/>
        <v>0</v>
      </c>
    </row>
    <row r="1266" spans="1:15" s="5" customFormat="1" ht="16.149999999999999" customHeight="1" x14ac:dyDescent="0.2">
      <c r="A1266" s="30"/>
      <c r="B1266" s="44"/>
      <c r="C1266" s="41"/>
      <c r="D1266" s="41">
        <v>2</v>
      </c>
      <c r="E1266" s="109">
        <v>7</v>
      </c>
      <c r="F1266" s="109"/>
      <c r="G1266" s="109">
        <v>3.1</v>
      </c>
      <c r="H1266" s="89">
        <f t="shared" si="310"/>
        <v>43.4</v>
      </c>
      <c r="I1266" s="89"/>
      <c r="K1266" s="157"/>
      <c r="L1266" s="157"/>
      <c r="M1266" s="158"/>
      <c r="O1266" s="82">
        <f t="shared" si="300"/>
        <v>0</v>
      </c>
    </row>
    <row r="1267" spans="1:15" s="5" customFormat="1" ht="16.149999999999999" customHeight="1" x14ac:dyDescent="0.2">
      <c r="A1267" s="30"/>
      <c r="B1267" s="110" t="s">
        <v>480</v>
      </c>
      <c r="C1267" s="41"/>
      <c r="D1267" s="41"/>
      <c r="E1267" s="109"/>
      <c r="F1267" s="109"/>
      <c r="G1267" s="109"/>
      <c r="H1267" s="89"/>
      <c r="I1267" s="89"/>
      <c r="K1267" s="157"/>
      <c r="L1267" s="157"/>
      <c r="M1267" s="158"/>
      <c r="O1267" s="82">
        <f t="shared" si="300"/>
        <v>0</v>
      </c>
    </row>
    <row r="1268" spans="1:15" ht="15.95" customHeight="1" x14ac:dyDescent="0.2">
      <c r="A1268" s="30"/>
      <c r="B1268" s="41" t="s">
        <v>481</v>
      </c>
      <c r="C1268" s="41"/>
      <c r="D1268" s="41">
        <v>-1</v>
      </c>
      <c r="E1268" s="90">
        <v>2</v>
      </c>
      <c r="F1268" s="90"/>
      <c r="G1268" s="90">
        <v>2.2000000000000002</v>
      </c>
      <c r="H1268" s="89">
        <f t="shared" ref="H1268:H1271" si="311">PRODUCT(D1268:G1268)</f>
        <v>-4.4000000000000004</v>
      </c>
      <c r="I1268" s="89"/>
      <c r="J1268" s="108"/>
      <c r="K1268" s="157"/>
      <c r="L1268" s="157"/>
      <c r="M1268" s="158"/>
      <c r="O1268" s="82">
        <f t="shared" si="300"/>
        <v>0</v>
      </c>
    </row>
    <row r="1269" spans="1:15" ht="15.95" customHeight="1" x14ac:dyDescent="0.2">
      <c r="A1269" s="30"/>
      <c r="B1269" s="41" t="s">
        <v>481</v>
      </c>
      <c r="C1269" s="41"/>
      <c r="D1269" s="41">
        <v>-1</v>
      </c>
      <c r="E1269" s="90">
        <v>1.8</v>
      </c>
      <c r="F1269" s="90"/>
      <c r="G1269" s="90">
        <v>2.2000000000000002</v>
      </c>
      <c r="H1269" s="89">
        <f t="shared" si="311"/>
        <v>-3.9600000000000004</v>
      </c>
      <c r="I1269" s="89"/>
      <c r="J1269" s="108"/>
      <c r="K1269" s="157"/>
      <c r="L1269" s="157"/>
      <c r="M1269" s="158"/>
      <c r="O1269" s="82">
        <f t="shared" si="300"/>
        <v>0</v>
      </c>
    </row>
    <row r="1270" spans="1:15" ht="15.95" customHeight="1" x14ac:dyDescent="0.2">
      <c r="A1270" s="30"/>
      <c r="B1270" s="41" t="s">
        <v>481</v>
      </c>
      <c r="C1270" s="41"/>
      <c r="D1270" s="41">
        <v>-3</v>
      </c>
      <c r="E1270" s="90">
        <v>0.9</v>
      </c>
      <c r="F1270" s="90"/>
      <c r="G1270" s="90">
        <v>2.2000000000000002</v>
      </c>
      <c r="H1270" s="89">
        <f t="shared" si="311"/>
        <v>-5.9400000000000013</v>
      </c>
      <c r="I1270" s="89"/>
      <c r="J1270" s="108"/>
      <c r="K1270" s="157"/>
      <c r="L1270" s="157"/>
      <c r="M1270" s="158"/>
      <c r="O1270" s="82">
        <f t="shared" si="300"/>
        <v>0</v>
      </c>
    </row>
    <row r="1271" spans="1:15" ht="15.95" customHeight="1" x14ac:dyDescent="0.2">
      <c r="A1271" s="30"/>
      <c r="B1271" s="41"/>
      <c r="C1271" s="41"/>
      <c r="D1271" s="41">
        <v>-2</v>
      </c>
      <c r="E1271" s="90">
        <v>0.8</v>
      </c>
      <c r="F1271" s="90"/>
      <c r="G1271" s="90">
        <v>2.2000000000000002</v>
      </c>
      <c r="H1271" s="89">
        <f t="shared" si="311"/>
        <v>-3.5200000000000005</v>
      </c>
      <c r="I1271" s="89"/>
      <c r="J1271" s="108"/>
      <c r="K1271" s="157"/>
      <c r="L1271" s="157"/>
      <c r="M1271" s="158"/>
      <c r="O1271" s="82">
        <f t="shared" si="300"/>
        <v>0</v>
      </c>
    </row>
    <row r="1272" spans="1:15" ht="15.95" customHeight="1" x14ac:dyDescent="0.2">
      <c r="A1272" s="30"/>
      <c r="B1272" s="46"/>
      <c r="C1272" s="41"/>
      <c r="D1272" s="41"/>
      <c r="E1272" s="90"/>
      <c r="F1272" s="90"/>
      <c r="G1272" s="90"/>
      <c r="H1272" s="89"/>
      <c r="I1272" s="90">
        <f>SUM(H1240:H1272)</f>
        <v>265.82</v>
      </c>
      <c r="J1272" s="90"/>
      <c r="K1272" s="157"/>
      <c r="L1272" s="157"/>
      <c r="M1272" s="158"/>
      <c r="O1272" s="82">
        <f t="shared" si="300"/>
        <v>0</v>
      </c>
    </row>
    <row r="1273" spans="1:15" ht="15.95" customHeight="1" x14ac:dyDescent="0.2">
      <c r="A1273" s="30"/>
      <c r="B1273" s="46"/>
      <c r="C1273" s="41"/>
      <c r="D1273" s="41"/>
      <c r="E1273" s="90"/>
      <c r="F1273" s="90"/>
      <c r="G1273" s="90"/>
      <c r="H1273" s="89"/>
      <c r="I1273" s="90"/>
      <c r="J1273" s="90"/>
      <c r="K1273" s="157"/>
      <c r="L1273" s="157"/>
      <c r="M1273" s="158"/>
      <c r="O1273" s="82">
        <f t="shared" si="300"/>
        <v>0</v>
      </c>
    </row>
    <row r="1274" spans="1:15" s="5" customFormat="1" ht="16.149999999999999" customHeight="1" x14ac:dyDescent="0.2">
      <c r="A1274" s="30"/>
      <c r="B1274" s="98" t="s">
        <v>467</v>
      </c>
      <c r="C1274" s="32"/>
      <c r="D1274" s="32"/>
      <c r="E1274" s="89"/>
      <c r="F1274" s="89"/>
      <c r="G1274" s="89"/>
      <c r="H1274" s="89">
        <f t="shared" ref="H1274:H1279" si="312">PRODUCT(D1274:G1274)</f>
        <v>0</v>
      </c>
      <c r="I1274" s="89"/>
      <c r="J1274" s="89"/>
      <c r="K1274" s="157"/>
      <c r="L1274" s="157"/>
      <c r="M1274" s="158"/>
      <c r="O1274" s="82">
        <f t="shared" si="300"/>
        <v>0</v>
      </c>
    </row>
    <row r="1275" spans="1:15" ht="15.95" customHeight="1" x14ac:dyDescent="0.2">
      <c r="A1275" s="30"/>
      <c r="B1275" s="46"/>
      <c r="C1275" s="41"/>
      <c r="D1275" s="41">
        <v>2</v>
      </c>
      <c r="E1275" s="90">
        <v>2</v>
      </c>
      <c r="F1275" s="90"/>
      <c r="G1275" s="109">
        <v>3.1</v>
      </c>
      <c r="H1275" s="89">
        <f t="shared" si="312"/>
        <v>12.4</v>
      </c>
      <c r="I1275" s="90"/>
      <c r="J1275" s="90"/>
      <c r="K1275" s="157"/>
      <c r="L1275" s="157"/>
      <c r="M1275" s="158"/>
      <c r="O1275" s="82">
        <f t="shared" si="300"/>
        <v>0</v>
      </c>
    </row>
    <row r="1276" spans="1:15" ht="15.95" customHeight="1" x14ac:dyDescent="0.2">
      <c r="A1276" s="30"/>
      <c r="B1276" s="46"/>
      <c r="C1276" s="41"/>
      <c r="D1276" s="41">
        <v>2</v>
      </c>
      <c r="E1276" s="90">
        <v>3</v>
      </c>
      <c r="F1276" s="90"/>
      <c r="G1276" s="109">
        <v>3.1</v>
      </c>
      <c r="H1276" s="89">
        <f t="shared" si="312"/>
        <v>18.600000000000001</v>
      </c>
      <c r="I1276" s="90"/>
      <c r="J1276" s="108"/>
      <c r="K1276" s="157"/>
      <c r="L1276" s="157"/>
      <c r="M1276" s="158"/>
      <c r="O1276" s="82">
        <f t="shared" si="300"/>
        <v>0</v>
      </c>
    </row>
    <row r="1277" spans="1:15" s="5" customFormat="1" ht="16.149999999999999" customHeight="1" x14ac:dyDescent="0.2">
      <c r="A1277" s="30"/>
      <c r="B1277" s="110" t="s">
        <v>480</v>
      </c>
      <c r="C1277" s="41"/>
      <c r="D1277" s="41"/>
      <c r="E1277" s="109"/>
      <c r="F1277" s="109"/>
      <c r="G1277" s="109"/>
      <c r="H1277" s="89">
        <f t="shared" si="312"/>
        <v>0</v>
      </c>
      <c r="I1277" s="89"/>
      <c r="K1277" s="157"/>
      <c r="L1277" s="157"/>
      <c r="M1277" s="158"/>
      <c r="O1277" s="82">
        <f t="shared" si="300"/>
        <v>0</v>
      </c>
    </row>
    <row r="1278" spans="1:15" ht="15.95" customHeight="1" x14ac:dyDescent="0.2">
      <c r="A1278" s="30"/>
      <c r="B1278" s="41" t="s">
        <v>424</v>
      </c>
      <c r="C1278" s="41"/>
      <c r="D1278" s="41">
        <v>-2</v>
      </c>
      <c r="E1278" s="90">
        <v>0.9</v>
      </c>
      <c r="F1278" s="90"/>
      <c r="G1278" s="90">
        <v>1.2</v>
      </c>
      <c r="H1278" s="89">
        <f t="shared" si="312"/>
        <v>-2.16</v>
      </c>
      <c r="I1278" s="89"/>
      <c r="J1278" s="90"/>
      <c r="K1278" s="157"/>
      <c r="L1278" s="157"/>
      <c r="M1278" s="158"/>
      <c r="O1278" s="82">
        <f t="shared" si="300"/>
        <v>0</v>
      </c>
    </row>
    <row r="1279" spans="1:15" ht="15.95" customHeight="1" x14ac:dyDescent="0.2">
      <c r="A1279" s="30"/>
      <c r="B1279" s="41" t="s">
        <v>481</v>
      </c>
      <c r="C1279" s="41"/>
      <c r="D1279" s="41">
        <v>-1</v>
      </c>
      <c r="E1279" s="90">
        <v>0.9</v>
      </c>
      <c r="F1279" s="90"/>
      <c r="G1279" s="90">
        <v>2.2000000000000002</v>
      </c>
      <c r="H1279" s="89">
        <f t="shared" si="312"/>
        <v>-1.9800000000000002</v>
      </c>
      <c r="I1279" s="89"/>
      <c r="J1279" s="108"/>
      <c r="K1279" s="157"/>
      <c r="L1279" s="157"/>
      <c r="M1279" s="158"/>
      <c r="O1279" s="82">
        <f t="shared" si="300"/>
        <v>0</v>
      </c>
    </row>
    <row r="1280" spans="1:15" ht="15.95" customHeight="1" x14ac:dyDescent="0.2">
      <c r="A1280" s="40"/>
      <c r="B1280" s="46"/>
      <c r="C1280" s="41"/>
      <c r="D1280" s="41"/>
      <c r="E1280" s="90"/>
      <c r="F1280" s="90"/>
      <c r="G1280" s="90"/>
      <c r="H1280" s="90"/>
      <c r="I1280" s="90">
        <f>SUM(H1275:H1279)</f>
        <v>26.86</v>
      </c>
      <c r="J1280" s="90"/>
      <c r="K1280" s="163"/>
      <c r="L1280" s="163"/>
      <c r="M1280" s="158"/>
      <c r="O1280" s="82">
        <f t="shared" si="300"/>
        <v>0</v>
      </c>
    </row>
    <row r="1281" spans="1:15" ht="14.25" x14ac:dyDescent="0.2">
      <c r="A1281" s="40"/>
      <c r="B1281" s="45"/>
      <c r="C1281" s="41"/>
      <c r="D1281" s="41"/>
      <c r="E1281" s="90"/>
      <c r="F1281" s="90"/>
      <c r="G1281" s="90"/>
      <c r="H1281" s="90"/>
      <c r="I1281" s="90"/>
      <c r="J1281" s="90"/>
      <c r="K1281" s="163"/>
      <c r="L1281" s="163"/>
      <c r="M1281" s="158"/>
      <c r="O1281" s="82">
        <f t="shared" si="300"/>
        <v>0</v>
      </c>
    </row>
    <row r="1282" spans="1:15" ht="16.5" customHeight="1" x14ac:dyDescent="0.2">
      <c r="A1282" s="40"/>
      <c r="B1282" s="45" t="s">
        <v>268</v>
      </c>
      <c r="C1282" s="41" t="s">
        <v>4</v>
      </c>
      <c r="D1282" s="41"/>
      <c r="E1282" s="90"/>
      <c r="F1282" s="90"/>
      <c r="G1282" s="90"/>
      <c r="H1282" s="90"/>
      <c r="I1282" s="90"/>
      <c r="J1282" s="90"/>
      <c r="K1282" s="163"/>
      <c r="L1282" s="163"/>
      <c r="M1282" s="158"/>
      <c r="O1282" s="82">
        <f t="shared" si="300"/>
        <v>0</v>
      </c>
    </row>
    <row r="1283" spans="1:15" ht="15.95" customHeight="1" x14ac:dyDescent="0.2">
      <c r="A1283" s="40"/>
      <c r="B1283" s="118" t="s">
        <v>505</v>
      </c>
      <c r="C1283" s="41"/>
      <c r="D1283" s="41">
        <v>1</v>
      </c>
      <c r="E1283" s="90">
        <f>J541</f>
        <v>0</v>
      </c>
      <c r="F1283" s="90"/>
      <c r="G1283" s="90"/>
      <c r="H1283" s="89">
        <f t="shared" ref="H1283" si="313">PRODUCT(D1283:G1283)</f>
        <v>0</v>
      </c>
      <c r="I1283" s="90"/>
      <c r="J1283" s="90"/>
      <c r="K1283" s="163"/>
      <c r="L1283" s="163"/>
      <c r="M1283" s="158"/>
      <c r="O1283" s="82">
        <f t="shared" si="300"/>
        <v>0</v>
      </c>
    </row>
    <row r="1284" spans="1:15" s="5" customFormat="1" ht="16.149999999999999" customHeight="1" x14ac:dyDescent="0.2">
      <c r="A1284" s="30"/>
      <c r="B1284" s="98" t="s">
        <v>464</v>
      </c>
      <c r="C1284" s="32"/>
      <c r="D1284" s="32"/>
      <c r="E1284" s="89"/>
      <c r="F1284" s="89"/>
      <c r="G1284" s="89"/>
      <c r="H1284" s="89"/>
      <c r="I1284" s="89"/>
      <c r="K1284" s="157"/>
      <c r="L1284" s="157"/>
      <c r="M1284" s="158"/>
      <c r="O1284" s="82">
        <f t="shared" si="300"/>
        <v>0</v>
      </c>
    </row>
    <row r="1285" spans="1:15" s="5" customFormat="1" ht="16.149999999999999" customHeight="1" x14ac:dyDescent="0.2">
      <c r="A1285" s="30"/>
      <c r="B1285" s="105" t="s">
        <v>474</v>
      </c>
      <c r="C1285" s="32"/>
      <c r="D1285" s="32"/>
      <c r="E1285" s="89"/>
      <c r="F1285" s="89"/>
      <c r="G1285" s="89"/>
      <c r="I1285" s="89"/>
      <c r="K1285" s="157"/>
      <c r="L1285" s="157"/>
      <c r="M1285" s="158"/>
      <c r="O1285" s="82">
        <f t="shared" si="300"/>
        <v>0</v>
      </c>
    </row>
    <row r="1286" spans="1:15" s="5" customFormat="1" ht="16.149999999999999" customHeight="1" x14ac:dyDescent="0.2">
      <c r="A1286" s="30"/>
      <c r="B1286" s="44" t="s">
        <v>494</v>
      </c>
      <c r="C1286" s="41"/>
      <c r="D1286" s="41">
        <v>2</v>
      </c>
      <c r="E1286" s="109">
        <v>6.6</v>
      </c>
      <c r="F1286" s="109">
        <v>8.6</v>
      </c>
      <c r="G1286" s="109"/>
      <c r="H1286" s="89">
        <f>PRODUCT(D1286:G1286)</f>
        <v>113.52</v>
      </c>
      <c r="I1286" s="89"/>
      <c r="K1286" s="157"/>
      <c r="L1286" s="157"/>
      <c r="M1286" s="158"/>
      <c r="O1286" s="82">
        <f t="shared" ref="O1286:O1349" si="314">K1286-J1286</f>
        <v>0</v>
      </c>
    </row>
    <row r="1287" spans="1:15" s="5" customFormat="1" ht="16.149999999999999" customHeight="1" x14ac:dyDescent="0.2">
      <c r="A1287" s="30"/>
      <c r="B1287" s="44"/>
      <c r="C1287" s="41"/>
      <c r="D1287" s="41">
        <v>6</v>
      </c>
      <c r="E1287" s="109">
        <v>1.2</v>
      </c>
      <c r="F1287" s="109">
        <v>0.6</v>
      </c>
      <c r="G1287" s="109"/>
      <c r="H1287" s="89">
        <f t="shared" ref="H1287" si="315">PRODUCT(D1287:G1287)</f>
        <v>4.3199999999999994</v>
      </c>
      <c r="I1287" s="89"/>
      <c r="K1287" s="157"/>
      <c r="L1287" s="157"/>
      <c r="M1287" s="158"/>
      <c r="O1287" s="82">
        <f t="shared" si="314"/>
        <v>0</v>
      </c>
    </row>
    <row r="1288" spans="1:15" s="5" customFormat="1" ht="16.149999999999999" customHeight="1" x14ac:dyDescent="0.2">
      <c r="A1288" s="30"/>
      <c r="B1288" s="44" t="s">
        <v>495</v>
      </c>
      <c r="C1288" s="41"/>
      <c r="D1288" s="41">
        <v>1</v>
      </c>
      <c r="E1288" s="109">
        <v>4</v>
      </c>
      <c r="F1288" s="109">
        <v>3.4</v>
      </c>
      <c r="G1288" s="109"/>
      <c r="H1288" s="89">
        <f>PRODUCT(D1288:G1288)</f>
        <v>13.6</v>
      </c>
      <c r="I1288" s="89"/>
      <c r="K1288" s="157"/>
      <c r="L1288" s="157"/>
      <c r="M1288" s="158"/>
      <c r="O1288" s="82">
        <f t="shared" si="314"/>
        <v>0</v>
      </c>
    </row>
    <row r="1289" spans="1:15" s="5" customFormat="1" ht="16.149999999999999" customHeight="1" x14ac:dyDescent="0.2">
      <c r="A1289" s="30"/>
      <c r="B1289" s="44" t="s">
        <v>497</v>
      </c>
      <c r="C1289" s="41"/>
      <c r="D1289" s="41">
        <v>1</v>
      </c>
      <c r="E1289" s="109">
        <f>21.4</f>
        <v>21.4</v>
      </c>
      <c r="F1289" s="109">
        <v>2.2000000000000002</v>
      </c>
      <c r="G1289" s="109"/>
      <c r="H1289" s="89">
        <f>PRODUCT(D1289:G1289)</f>
        <v>47.08</v>
      </c>
      <c r="I1289" s="89"/>
      <c r="K1289" s="157"/>
      <c r="L1289" s="157"/>
      <c r="M1289" s="158"/>
      <c r="O1289" s="82">
        <f t="shared" si="314"/>
        <v>0</v>
      </c>
    </row>
    <row r="1290" spans="1:15" s="5" customFormat="1" ht="16.149999999999999" customHeight="1" x14ac:dyDescent="0.2">
      <c r="A1290" s="30"/>
      <c r="B1290" s="44"/>
      <c r="C1290" s="41"/>
      <c r="D1290" s="41">
        <v>6</v>
      </c>
      <c r="E1290" s="109">
        <v>2.2000000000000002</v>
      </c>
      <c r="F1290" s="109">
        <v>0.4</v>
      </c>
      <c r="G1290" s="109"/>
      <c r="H1290" s="89">
        <f t="shared" ref="H1290:H1291" si="316">PRODUCT(D1290:G1290)</f>
        <v>5.2800000000000011</v>
      </c>
      <c r="I1290" s="89"/>
      <c r="K1290" s="157"/>
      <c r="L1290" s="157"/>
      <c r="M1290" s="158"/>
      <c r="O1290" s="82">
        <f t="shared" si="314"/>
        <v>0</v>
      </c>
    </row>
    <row r="1291" spans="1:15" ht="15.95" customHeight="1" x14ac:dyDescent="0.2">
      <c r="A1291" s="30"/>
      <c r="B1291" s="46"/>
      <c r="C1291" s="41"/>
      <c r="D1291" s="41">
        <v>1</v>
      </c>
      <c r="E1291" s="90">
        <v>21.4</v>
      </c>
      <c r="F1291" s="90">
        <v>0.4</v>
      </c>
      <c r="G1291" s="90"/>
      <c r="H1291" s="89">
        <f t="shared" si="316"/>
        <v>8.56</v>
      </c>
      <c r="I1291" s="89"/>
      <c r="J1291" s="108"/>
      <c r="K1291" s="157"/>
      <c r="L1291" s="157"/>
      <c r="M1291" s="158"/>
      <c r="O1291" s="82">
        <f t="shared" si="314"/>
        <v>0</v>
      </c>
    </row>
    <row r="1292" spans="1:15" ht="15.95" customHeight="1" x14ac:dyDescent="0.2">
      <c r="A1292" s="30"/>
      <c r="B1292" s="46"/>
      <c r="C1292" s="41"/>
      <c r="D1292" s="41"/>
      <c r="E1292" s="90"/>
      <c r="F1292" s="90"/>
      <c r="G1292" s="90"/>
      <c r="H1292" s="89"/>
      <c r="I1292" s="89"/>
      <c r="J1292" s="108"/>
      <c r="K1292" s="157"/>
      <c r="L1292" s="157"/>
      <c r="M1292" s="158"/>
      <c r="O1292" s="82">
        <f t="shared" si="314"/>
        <v>0</v>
      </c>
    </row>
    <row r="1293" spans="1:15" ht="15.95" customHeight="1" x14ac:dyDescent="0.2">
      <c r="A1293" s="30"/>
      <c r="B1293" s="105" t="s">
        <v>475</v>
      </c>
      <c r="C1293" s="41"/>
      <c r="D1293" s="41"/>
      <c r="E1293" s="90"/>
      <c r="F1293" s="90"/>
      <c r="G1293" s="90"/>
      <c r="H1293" s="89">
        <f t="shared" ref="H1293" si="317">PRODUCT(D1293:G1293)</f>
        <v>0</v>
      </c>
      <c r="I1293" s="89">
        <f t="shared" ref="I1293" si="318">PRODUCT(E1293:H1293)</f>
        <v>0</v>
      </c>
      <c r="J1293" s="90"/>
      <c r="K1293" s="157"/>
      <c r="L1293" s="157"/>
      <c r="M1293" s="158"/>
      <c r="O1293" s="82">
        <f t="shared" si="314"/>
        <v>0</v>
      </c>
    </row>
    <row r="1294" spans="1:15" s="5" customFormat="1" ht="16.149999999999999" customHeight="1" x14ac:dyDescent="0.2">
      <c r="A1294" s="30"/>
      <c r="B1294" s="44" t="s">
        <v>494</v>
      </c>
      <c r="C1294" s="41"/>
      <c r="D1294" s="41">
        <v>2</v>
      </c>
      <c r="E1294" s="109">
        <v>6.6</v>
      </c>
      <c r="F1294" s="109">
        <v>8.6</v>
      </c>
      <c r="G1294" s="109"/>
      <c r="H1294" s="89">
        <f>PRODUCT(D1294:G1294)</f>
        <v>113.52</v>
      </c>
      <c r="I1294" s="89"/>
      <c r="K1294" s="157"/>
      <c r="L1294" s="157"/>
      <c r="M1294" s="158"/>
      <c r="O1294" s="82">
        <f t="shared" si="314"/>
        <v>0</v>
      </c>
    </row>
    <row r="1295" spans="1:15" s="5" customFormat="1" ht="16.149999999999999" customHeight="1" x14ac:dyDescent="0.2">
      <c r="A1295" s="30"/>
      <c r="B1295" s="44"/>
      <c r="C1295" s="41"/>
      <c r="D1295" s="41">
        <v>6</v>
      </c>
      <c r="E1295" s="109">
        <v>1.2</v>
      </c>
      <c r="F1295" s="109">
        <v>0.6</v>
      </c>
      <c r="G1295" s="109"/>
      <c r="H1295" s="89">
        <f t="shared" ref="H1295" si="319">PRODUCT(D1295:G1295)</f>
        <v>4.3199999999999994</v>
      </c>
      <c r="I1295" s="89"/>
      <c r="K1295" s="157"/>
      <c r="L1295" s="157"/>
      <c r="M1295" s="158"/>
      <c r="O1295" s="82">
        <f t="shared" si="314"/>
        <v>0</v>
      </c>
    </row>
    <row r="1296" spans="1:15" s="5" customFormat="1" ht="16.149999999999999" customHeight="1" x14ac:dyDescent="0.2">
      <c r="A1296" s="30"/>
      <c r="B1296" s="44" t="s">
        <v>495</v>
      </c>
      <c r="C1296" s="41"/>
      <c r="D1296" s="41">
        <v>1</v>
      </c>
      <c r="E1296" s="109">
        <v>4</v>
      </c>
      <c r="F1296" s="109">
        <v>3.4</v>
      </c>
      <c r="G1296" s="109"/>
      <c r="H1296" s="89">
        <f>PRODUCT(D1296:G1296)</f>
        <v>13.6</v>
      </c>
      <c r="I1296" s="89"/>
      <c r="K1296" s="157"/>
      <c r="L1296" s="157"/>
      <c r="M1296" s="158"/>
      <c r="O1296" s="82">
        <f t="shared" si="314"/>
        <v>0</v>
      </c>
    </row>
    <row r="1297" spans="1:15" s="5" customFormat="1" ht="16.149999999999999" customHeight="1" x14ac:dyDescent="0.2">
      <c r="A1297" s="30"/>
      <c r="B1297" s="44" t="s">
        <v>497</v>
      </c>
      <c r="C1297" s="41"/>
      <c r="D1297" s="41">
        <v>1</v>
      </c>
      <c r="E1297" s="109">
        <f>21.4</f>
        <v>21.4</v>
      </c>
      <c r="F1297" s="109">
        <v>2.2000000000000002</v>
      </c>
      <c r="G1297" s="109"/>
      <c r="H1297" s="89">
        <f>PRODUCT(D1297:G1297)</f>
        <v>47.08</v>
      </c>
      <c r="I1297" s="89"/>
      <c r="K1297" s="157"/>
      <c r="L1297" s="157"/>
      <c r="M1297" s="158"/>
      <c r="O1297" s="82">
        <f t="shared" si="314"/>
        <v>0</v>
      </c>
    </row>
    <row r="1298" spans="1:15" s="5" customFormat="1" ht="16.149999999999999" customHeight="1" x14ac:dyDescent="0.2">
      <c r="A1298" s="30"/>
      <c r="B1298" s="44"/>
      <c r="C1298" s="41"/>
      <c r="D1298" s="41">
        <v>6</v>
      </c>
      <c r="E1298" s="109">
        <v>2.2000000000000002</v>
      </c>
      <c r="F1298" s="109">
        <v>0.4</v>
      </c>
      <c r="G1298" s="109"/>
      <c r="H1298" s="89">
        <f t="shared" ref="H1298:H1299" si="320">PRODUCT(D1298:G1298)</f>
        <v>5.2800000000000011</v>
      </c>
      <c r="I1298" s="89"/>
      <c r="K1298" s="157"/>
      <c r="L1298" s="157"/>
      <c r="M1298" s="158"/>
      <c r="O1298" s="82">
        <f t="shared" si="314"/>
        <v>0</v>
      </c>
    </row>
    <row r="1299" spans="1:15" ht="15.95" customHeight="1" x14ac:dyDescent="0.2">
      <c r="A1299" s="30"/>
      <c r="B1299" s="46"/>
      <c r="C1299" s="41"/>
      <c r="D1299" s="41">
        <v>1</v>
      </c>
      <c r="E1299" s="90">
        <v>21.4</v>
      </c>
      <c r="F1299" s="90">
        <v>0.4</v>
      </c>
      <c r="G1299" s="90"/>
      <c r="H1299" s="89">
        <f t="shared" si="320"/>
        <v>8.56</v>
      </c>
      <c r="I1299" s="89"/>
      <c r="J1299" s="108"/>
      <c r="K1299" s="157"/>
      <c r="L1299" s="157"/>
      <c r="M1299" s="158"/>
      <c r="O1299" s="82">
        <f t="shared" si="314"/>
        <v>0</v>
      </c>
    </row>
    <row r="1300" spans="1:15" ht="15.95" customHeight="1" x14ac:dyDescent="0.2">
      <c r="A1300" s="30"/>
      <c r="B1300" s="46"/>
      <c r="C1300" s="41"/>
      <c r="D1300" s="41"/>
      <c r="E1300" s="90"/>
      <c r="F1300" s="90"/>
      <c r="G1300" s="90"/>
      <c r="H1300" s="89"/>
      <c r="I1300" s="89">
        <f>SUM(H1285:H1299)</f>
        <v>384.71999999999997</v>
      </c>
      <c r="J1300" s="108"/>
      <c r="K1300" s="157"/>
      <c r="L1300" s="157"/>
      <c r="M1300" s="158"/>
      <c r="O1300" s="82">
        <f t="shared" si="314"/>
        <v>0</v>
      </c>
    </row>
    <row r="1301" spans="1:15" ht="15.95" customHeight="1" x14ac:dyDescent="0.2">
      <c r="A1301" s="30"/>
      <c r="B1301" s="46"/>
      <c r="C1301" s="41"/>
      <c r="D1301" s="41"/>
      <c r="E1301" s="90"/>
      <c r="F1301" s="90"/>
      <c r="G1301" s="90"/>
      <c r="H1301" s="89"/>
      <c r="I1301" s="89">
        <f t="shared" ref="I1301" si="321">PRODUCT(E1301:H1301)</f>
        <v>0</v>
      </c>
      <c r="J1301" s="90"/>
      <c r="K1301" s="157"/>
      <c r="L1301" s="157"/>
      <c r="M1301" s="158"/>
      <c r="O1301" s="82">
        <f t="shared" si="314"/>
        <v>0</v>
      </c>
    </row>
    <row r="1302" spans="1:15" s="5" customFormat="1" ht="16.149999999999999" customHeight="1" x14ac:dyDescent="0.2">
      <c r="A1302" s="30"/>
      <c r="B1302" s="98" t="s">
        <v>465</v>
      </c>
      <c r="C1302" s="32"/>
      <c r="D1302" s="32"/>
      <c r="E1302" s="89"/>
      <c r="F1302" s="89"/>
      <c r="G1302" s="89"/>
      <c r="H1302" s="89">
        <f t="shared" ref="H1302:H1309" si="322">PRODUCT(D1302:G1302)</f>
        <v>0</v>
      </c>
      <c r="I1302" s="89"/>
      <c r="J1302" s="89"/>
      <c r="K1302" s="157"/>
      <c r="L1302" s="157"/>
      <c r="M1302" s="158"/>
      <c r="O1302" s="82">
        <f t="shared" si="314"/>
        <v>0</v>
      </c>
    </row>
    <row r="1303" spans="1:15" s="5" customFormat="1" ht="16.149999999999999" customHeight="1" x14ac:dyDescent="0.2">
      <c r="A1303" s="30"/>
      <c r="B1303" s="44" t="s">
        <v>485</v>
      </c>
      <c r="C1303" s="41"/>
      <c r="D1303" s="41">
        <v>0</v>
      </c>
      <c r="E1303" s="109">
        <v>5.0999999999999996</v>
      </c>
      <c r="F1303" s="109">
        <v>3.1</v>
      </c>
      <c r="G1303" s="109"/>
      <c r="H1303" s="89">
        <f t="shared" si="322"/>
        <v>0</v>
      </c>
      <c r="I1303" s="89"/>
      <c r="K1303" s="157"/>
      <c r="L1303" s="157"/>
      <c r="M1303" s="158"/>
      <c r="O1303" s="82">
        <f t="shared" si="314"/>
        <v>0</v>
      </c>
    </row>
    <row r="1304" spans="1:15" s="5" customFormat="1" ht="16.149999999999999" customHeight="1" x14ac:dyDescent="0.2">
      <c r="A1304" s="30"/>
      <c r="B1304" s="44" t="s">
        <v>486</v>
      </c>
      <c r="C1304" s="41"/>
      <c r="D1304" s="41">
        <v>0</v>
      </c>
      <c r="E1304" s="109">
        <v>5.0999999999999996</v>
      </c>
      <c r="F1304" s="109">
        <v>7.1</v>
      </c>
      <c r="G1304" s="109"/>
      <c r="H1304" s="89">
        <f t="shared" si="322"/>
        <v>0</v>
      </c>
      <c r="I1304" s="89"/>
      <c r="K1304" s="157"/>
      <c r="L1304" s="157"/>
      <c r="M1304" s="158"/>
      <c r="O1304" s="82">
        <f t="shared" si="314"/>
        <v>0</v>
      </c>
    </row>
    <row r="1305" spans="1:15" s="5" customFormat="1" ht="16.149999999999999" customHeight="1" x14ac:dyDescent="0.2">
      <c r="A1305" s="30"/>
      <c r="B1305" s="44" t="s">
        <v>487</v>
      </c>
      <c r="C1305" s="41"/>
      <c r="D1305" s="41">
        <v>2</v>
      </c>
      <c r="E1305" s="109">
        <v>2.1</v>
      </c>
      <c r="F1305" s="109">
        <v>1.9</v>
      </c>
      <c r="G1305" s="109"/>
      <c r="H1305" s="89">
        <f t="shared" si="322"/>
        <v>7.9799999999999995</v>
      </c>
      <c r="I1305" s="89"/>
      <c r="K1305" s="157"/>
      <c r="L1305" s="157"/>
      <c r="M1305" s="158"/>
      <c r="O1305" s="82">
        <f t="shared" si="314"/>
        <v>0</v>
      </c>
    </row>
    <row r="1306" spans="1:15" s="5" customFormat="1" ht="16.149999999999999" customHeight="1" x14ac:dyDescent="0.2">
      <c r="A1306" s="30"/>
      <c r="B1306" s="44" t="s">
        <v>488</v>
      </c>
      <c r="C1306" s="41"/>
      <c r="D1306" s="41">
        <v>1</v>
      </c>
      <c r="E1306" s="109">
        <v>4.8</v>
      </c>
      <c r="F1306" s="109">
        <v>2.5</v>
      </c>
      <c r="G1306" s="109"/>
      <c r="H1306" s="89">
        <f t="shared" si="322"/>
        <v>12</v>
      </c>
      <c r="I1306" s="89"/>
      <c r="K1306" s="157"/>
      <c r="L1306" s="157"/>
      <c r="M1306" s="158"/>
      <c r="O1306" s="82">
        <f t="shared" si="314"/>
        <v>0</v>
      </c>
    </row>
    <row r="1307" spans="1:15" s="5" customFormat="1" ht="16.149999999999999" customHeight="1" x14ac:dyDescent="0.2">
      <c r="A1307" s="30"/>
      <c r="B1307" s="44" t="s">
        <v>479</v>
      </c>
      <c r="C1307" s="41"/>
      <c r="D1307" s="41">
        <v>0</v>
      </c>
      <c r="E1307" s="109">
        <v>4.3</v>
      </c>
      <c r="F1307" s="109">
        <v>2.9</v>
      </c>
      <c r="G1307" s="109"/>
      <c r="H1307" s="89">
        <f t="shared" si="322"/>
        <v>0</v>
      </c>
      <c r="I1307" s="89"/>
      <c r="K1307" s="157"/>
      <c r="L1307" s="157"/>
      <c r="M1307" s="158"/>
      <c r="O1307" s="82">
        <f t="shared" si="314"/>
        <v>0</v>
      </c>
    </row>
    <row r="1308" spans="1:15" s="5" customFormat="1" ht="16.149999999999999" customHeight="1" x14ac:dyDescent="0.2">
      <c r="A1308" s="30"/>
      <c r="B1308" s="44" t="s">
        <v>496</v>
      </c>
      <c r="C1308" s="41"/>
      <c r="D1308" s="41">
        <v>0</v>
      </c>
      <c r="E1308" s="109">
        <v>7.3</v>
      </c>
      <c r="F1308" s="109">
        <v>2</v>
      </c>
      <c r="G1308" s="109"/>
      <c r="H1308" s="89">
        <f t="shared" si="322"/>
        <v>0</v>
      </c>
      <c r="I1308" s="89"/>
      <c r="K1308" s="157"/>
      <c r="L1308" s="157"/>
      <c r="M1308" s="158"/>
      <c r="O1308" s="82">
        <f t="shared" si="314"/>
        <v>0</v>
      </c>
    </row>
    <row r="1309" spans="1:15" s="5" customFormat="1" ht="16.149999999999999" customHeight="1" x14ac:dyDescent="0.2">
      <c r="A1309" s="30"/>
      <c r="B1309" s="44"/>
      <c r="C1309" s="41"/>
      <c r="D1309" s="41">
        <v>0</v>
      </c>
      <c r="E1309" s="109">
        <v>5</v>
      </c>
      <c r="F1309" s="109">
        <v>1.3</v>
      </c>
      <c r="G1309" s="109"/>
      <c r="H1309" s="89">
        <f t="shared" si="322"/>
        <v>0</v>
      </c>
      <c r="I1309" s="89"/>
      <c r="K1309" s="157"/>
      <c r="L1309" s="157"/>
      <c r="M1309" s="158"/>
      <c r="O1309" s="82">
        <f t="shared" si="314"/>
        <v>0</v>
      </c>
    </row>
    <row r="1310" spans="1:15" ht="15.95" customHeight="1" x14ac:dyDescent="0.2">
      <c r="A1310" s="30"/>
      <c r="B1310" s="46"/>
      <c r="C1310" s="41"/>
      <c r="D1310" s="41"/>
      <c r="E1310" s="90"/>
      <c r="F1310" s="90"/>
      <c r="G1310" s="90"/>
      <c r="H1310" s="89"/>
      <c r="I1310" s="90">
        <f>SUM(H1303:H1309)</f>
        <v>19.98</v>
      </c>
      <c r="J1310" s="90"/>
      <c r="K1310" s="157"/>
      <c r="L1310" s="157"/>
      <c r="M1310" s="158"/>
      <c r="O1310" s="82">
        <f t="shared" si="314"/>
        <v>0</v>
      </c>
    </row>
    <row r="1311" spans="1:15" s="5" customFormat="1" ht="16.149999999999999" customHeight="1" x14ac:dyDescent="0.2">
      <c r="A1311" s="30"/>
      <c r="B1311" s="98" t="s">
        <v>466</v>
      </c>
      <c r="C1311" s="32"/>
      <c r="D1311" s="32"/>
      <c r="E1311" s="89"/>
      <c r="F1311" s="89"/>
      <c r="G1311" s="89"/>
      <c r="H1311" s="89">
        <f t="shared" ref="H1311:H1312" si="323">PRODUCT(D1311:G1311)</f>
        <v>0</v>
      </c>
      <c r="I1311" s="89"/>
      <c r="J1311" s="89"/>
      <c r="K1311" s="157"/>
      <c r="L1311" s="157"/>
      <c r="M1311" s="158"/>
      <c r="O1311" s="82">
        <f t="shared" si="314"/>
        <v>0</v>
      </c>
    </row>
    <row r="1312" spans="1:15" ht="15.95" customHeight="1" x14ac:dyDescent="0.2">
      <c r="A1312" s="30"/>
      <c r="B1312" s="46"/>
      <c r="C1312" s="41"/>
      <c r="D1312" s="41">
        <v>4</v>
      </c>
      <c r="E1312" s="90">
        <v>4.5999999999999996</v>
      </c>
      <c r="F1312" s="90">
        <v>4.0999999999999996</v>
      </c>
      <c r="G1312" s="109"/>
      <c r="H1312" s="89">
        <f t="shared" si="323"/>
        <v>75.439999999999984</v>
      </c>
      <c r="I1312" s="90"/>
      <c r="J1312" s="90"/>
      <c r="K1312" s="157"/>
      <c r="L1312" s="157"/>
      <c r="M1312" s="158"/>
      <c r="O1312" s="82">
        <f t="shared" si="314"/>
        <v>0</v>
      </c>
    </row>
    <row r="1313" spans="1:15" ht="15.95" customHeight="1" x14ac:dyDescent="0.2">
      <c r="A1313" s="30"/>
      <c r="B1313" s="46"/>
      <c r="C1313" s="41"/>
      <c r="D1313" s="41"/>
      <c r="E1313" s="90"/>
      <c r="F1313" s="90"/>
      <c r="G1313" s="90"/>
      <c r="H1313" s="89"/>
      <c r="I1313" s="90">
        <f>SUM(H1312:H1313)</f>
        <v>75.439999999999984</v>
      </c>
      <c r="J1313" s="90"/>
      <c r="K1313" s="157"/>
      <c r="L1313" s="157"/>
      <c r="M1313" s="158"/>
      <c r="O1313" s="82">
        <f t="shared" si="314"/>
        <v>0</v>
      </c>
    </row>
    <row r="1314" spans="1:15" s="5" customFormat="1" ht="16.149999999999999" customHeight="1" x14ac:dyDescent="0.2">
      <c r="A1314" s="30"/>
      <c r="B1314" s="98" t="s">
        <v>467</v>
      </c>
      <c r="C1314" s="32"/>
      <c r="D1314" s="32"/>
      <c r="E1314" s="89"/>
      <c r="F1314" s="89"/>
      <c r="G1314" s="89"/>
      <c r="H1314" s="89">
        <f t="shared" ref="H1314:H1315" si="324">PRODUCT(D1314:G1314)</f>
        <v>0</v>
      </c>
      <c r="I1314" s="89"/>
      <c r="J1314" s="89"/>
      <c r="K1314" s="157"/>
      <c r="L1314" s="157"/>
      <c r="M1314" s="158"/>
      <c r="O1314" s="82">
        <f t="shared" si="314"/>
        <v>0</v>
      </c>
    </row>
    <row r="1315" spans="1:15" ht="15.95" customHeight="1" x14ac:dyDescent="0.2">
      <c r="A1315" s="30"/>
      <c r="B1315" s="46"/>
      <c r="C1315" s="41"/>
      <c r="D1315" s="41">
        <v>1</v>
      </c>
      <c r="E1315" s="90">
        <v>2</v>
      </c>
      <c r="F1315" s="90">
        <v>3</v>
      </c>
      <c r="G1315" s="109"/>
      <c r="H1315" s="89">
        <f t="shared" si="324"/>
        <v>6</v>
      </c>
      <c r="I1315" s="90"/>
      <c r="J1315" s="90"/>
      <c r="K1315" s="157"/>
      <c r="L1315" s="157"/>
      <c r="M1315" s="158"/>
      <c r="O1315" s="82">
        <f t="shared" si="314"/>
        <v>0</v>
      </c>
    </row>
    <row r="1316" spans="1:15" ht="15.95" customHeight="1" x14ac:dyDescent="0.2">
      <c r="A1316" s="40"/>
      <c r="B1316" s="46"/>
      <c r="C1316" s="41"/>
      <c r="D1316" s="41"/>
      <c r="E1316" s="90"/>
      <c r="F1316" s="90"/>
      <c r="G1316" s="90"/>
      <c r="H1316" s="90"/>
      <c r="I1316" s="90">
        <f>SUM(H1315:H1315)</f>
        <v>6</v>
      </c>
      <c r="J1316" s="90"/>
      <c r="K1316" s="163"/>
      <c r="L1316" s="163"/>
      <c r="M1316" s="158"/>
      <c r="O1316" s="82">
        <f t="shared" si="314"/>
        <v>0</v>
      </c>
    </row>
    <row r="1317" spans="1:15" ht="16.5" customHeight="1" x14ac:dyDescent="0.2">
      <c r="A1317" s="40"/>
      <c r="B1317" s="45"/>
      <c r="C1317" s="41"/>
      <c r="D1317" s="41"/>
      <c r="E1317" s="90"/>
      <c r="F1317" s="90"/>
      <c r="G1317" s="90"/>
      <c r="H1317" s="90"/>
      <c r="I1317" s="90"/>
      <c r="J1317" s="90"/>
      <c r="K1317" s="163"/>
      <c r="L1317" s="163"/>
      <c r="M1317" s="158"/>
      <c r="O1317" s="82">
        <f t="shared" si="314"/>
        <v>0</v>
      </c>
    </row>
    <row r="1318" spans="1:15" ht="16.5" customHeight="1" x14ac:dyDescent="0.2">
      <c r="A1318" s="40"/>
      <c r="B1318" s="119" t="s">
        <v>506</v>
      </c>
      <c r="C1318" s="41"/>
      <c r="D1318" s="41"/>
      <c r="E1318" s="90"/>
      <c r="F1318" s="90"/>
      <c r="G1318" s="90"/>
      <c r="H1318" s="89">
        <f t="shared" ref="H1318" si="325">PRODUCT(D1318:G1318)</f>
        <v>0</v>
      </c>
      <c r="I1318" s="90"/>
      <c r="J1318" s="90"/>
      <c r="K1318" s="163"/>
      <c r="L1318" s="163"/>
      <c r="M1318" s="158"/>
      <c r="O1318" s="82">
        <f t="shared" si="314"/>
        <v>0</v>
      </c>
    </row>
    <row r="1319" spans="1:15" s="83" customFormat="1" ht="18" customHeight="1" x14ac:dyDescent="0.2">
      <c r="A1319" s="66"/>
      <c r="B1319" s="53" t="s">
        <v>527</v>
      </c>
      <c r="C1319" s="67"/>
      <c r="D1319" s="67">
        <f>21*2</f>
        <v>42</v>
      </c>
      <c r="E1319" s="92">
        <v>6.6</v>
      </c>
      <c r="F1319" s="92"/>
      <c r="G1319" s="92">
        <v>3.1</v>
      </c>
      <c r="H1319" s="89">
        <f t="shared" si="298"/>
        <v>859.31999999999994</v>
      </c>
      <c r="I1319" s="92"/>
      <c r="J1319" s="92"/>
      <c r="K1319" s="163"/>
      <c r="L1319" s="166"/>
      <c r="M1319" s="158"/>
      <c r="N1319" s="68"/>
      <c r="O1319" s="82">
        <f t="shared" si="314"/>
        <v>0</v>
      </c>
    </row>
    <row r="1320" spans="1:15" s="83" customFormat="1" ht="18" customHeight="1" x14ac:dyDescent="0.2">
      <c r="A1320" s="66"/>
      <c r="B1320" s="53"/>
      <c r="C1320" s="67"/>
      <c r="D1320" s="67">
        <f>21*2</f>
        <v>42</v>
      </c>
      <c r="E1320" s="92">
        <v>8.6</v>
      </c>
      <c r="F1320" s="92"/>
      <c r="G1320" s="92">
        <v>3.1</v>
      </c>
      <c r="H1320" s="89">
        <f t="shared" si="298"/>
        <v>1119.72</v>
      </c>
      <c r="I1320" s="92"/>
      <c r="J1320" s="92"/>
      <c r="K1320" s="163"/>
      <c r="L1320" s="166"/>
      <c r="M1320" s="158"/>
      <c r="N1320" s="68"/>
      <c r="O1320" s="82">
        <f t="shared" si="314"/>
        <v>0</v>
      </c>
    </row>
    <row r="1321" spans="1:15" s="83" customFormat="1" ht="18" customHeight="1" x14ac:dyDescent="0.2">
      <c r="A1321" s="66"/>
      <c r="B1321" s="127" t="s">
        <v>422</v>
      </c>
      <c r="C1321" s="67"/>
      <c r="D1321" s="67"/>
      <c r="E1321" s="92"/>
      <c r="F1321" s="92"/>
      <c r="G1321" s="92"/>
      <c r="H1321" s="89">
        <f t="shared" ref="H1321:H1326" si="326">PRODUCT(D1321:G1321)</f>
        <v>0</v>
      </c>
      <c r="I1321" s="92"/>
      <c r="J1321" s="92"/>
      <c r="K1321" s="163"/>
      <c r="L1321" s="166"/>
      <c r="M1321" s="158"/>
      <c r="N1321" s="68"/>
      <c r="O1321" s="82">
        <f t="shared" si="314"/>
        <v>0</v>
      </c>
    </row>
    <row r="1322" spans="1:15" s="83" customFormat="1" ht="18" customHeight="1" x14ac:dyDescent="0.2">
      <c r="A1322" s="66"/>
      <c r="B1322" s="67" t="s">
        <v>481</v>
      </c>
      <c r="C1322" s="67"/>
      <c r="D1322" s="67">
        <v>-21</v>
      </c>
      <c r="E1322" s="92">
        <v>1</v>
      </c>
      <c r="F1322" s="92"/>
      <c r="G1322" s="92">
        <v>2.2000000000000002</v>
      </c>
      <c r="H1322" s="89">
        <f t="shared" si="326"/>
        <v>-46.2</v>
      </c>
      <c r="I1322" s="92"/>
      <c r="J1322" s="92"/>
      <c r="K1322" s="163"/>
      <c r="L1322" s="166"/>
      <c r="M1322" s="158"/>
      <c r="N1322" s="68"/>
      <c r="O1322" s="82">
        <f t="shared" si="314"/>
        <v>0</v>
      </c>
    </row>
    <row r="1323" spans="1:15" s="83" customFormat="1" ht="18" customHeight="1" x14ac:dyDescent="0.2">
      <c r="A1323" s="66"/>
      <c r="B1323" s="67" t="s">
        <v>481</v>
      </c>
      <c r="C1323" s="67"/>
      <c r="D1323" s="67">
        <f>+-21*4</f>
        <v>-84</v>
      </c>
      <c r="E1323" s="92">
        <v>1</v>
      </c>
      <c r="F1323" s="92"/>
      <c r="G1323" s="92">
        <v>1.2</v>
      </c>
      <c r="H1323" s="89">
        <f t="shared" ref="H1323" si="327">PRODUCT(D1323:G1323)</f>
        <v>-100.8</v>
      </c>
      <c r="I1323" s="92"/>
      <c r="J1323" s="92"/>
      <c r="K1323" s="163"/>
      <c r="L1323" s="166"/>
      <c r="M1323" s="158"/>
      <c r="N1323" s="68"/>
      <c r="O1323" s="82">
        <f t="shared" si="314"/>
        <v>0</v>
      </c>
    </row>
    <row r="1324" spans="1:15" s="83" customFormat="1" ht="18" customHeight="1" x14ac:dyDescent="0.2">
      <c r="A1324" s="66"/>
      <c r="B1324" s="67"/>
      <c r="C1324" s="67"/>
      <c r="D1324" s="67"/>
      <c r="E1324" s="92"/>
      <c r="F1324" s="92"/>
      <c r="G1324" s="92"/>
      <c r="H1324" s="89"/>
      <c r="I1324" s="92"/>
      <c r="J1324" s="92"/>
      <c r="K1324" s="163"/>
      <c r="L1324" s="166"/>
      <c r="M1324" s="158"/>
      <c r="N1324" s="68"/>
      <c r="O1324" s="82">
        <f t="shared" si="314"/>
        <v>0</v>
      </c>
    </row>
    <row r="1325" spans="1:15" s="83" customFormat="1" ht="18" customHeight="1" x14ac:dyDescent="0.2">
      <c r="A1325" s="66"/>
      <c r="B1325" s="53" t="s">
        <v>528</v>
      </c>
      <c r="C1325" s="67"/>
      <c r="D1325" s="67">
        <v>21</v>
      </c>
      <c r="E1325" s="92">
        <v>6.6</v>
      </c>
      <c r="F1325" s="92">
        <v>8.6</v>
      </c>
      <c r="G1325" s="92"/>
      <c r="H1325" s="89">
        <f t="shared" si="326"/>
        <v>1191.9599999999998</v>
      </c>
      <c r="I1325" s="92"/>
      <c r="J1325" s="92"/>
      <c r="K1325" s="163"/>
      <c r="L1325" s="166"/>
      <c r="M1325" s="158"/>
      <c r="N1325" s="68"/>
      <c r="O1325" s="82">
        <f t="shared" si="314"/>
        <v>0</v>
      </c>
    </row>
    <row r="1326" spans="1:15" s="83" customFormat="1" ht="18" customHeight="1" x14ac:dyDescent="0.2">
      <c r="A1326" s="66"/>
      <c r="B1326" s="53"/>
      <c r="C1326" s="67"/>
      <c r="D1326" s="67"/>
      <c r="E1326" s="92"/>
      <c r="F1326" s="92"/>
      <c r="G1326" s="92"/>
      <c r="H1326" s="89">
        <f t="shared" si="326"/>
        <v>0</v>
      </c>
      <c r="I1326" s="92">
        <f>SUM(H1319:H1326)</f>
        <v>3024</v>
      </c>
      <c r="J1326" s="92"/>
      <c r="K1326" s="163"/>
      <c r="L1326" s="166"/>
      <c r="M1326" s="158"/>
      <c r="N1326" s="68"/>
      <c r="O1326" s="82">
        <f t="shared" si="314"/>
        <v>0</v>
      </c>
    </row>
    <row r="1327" spans="1:15" s="83" customFormat="1" ht="18" customHeight="1" x14ac:dyDescent="0.2">
      <c r="A1327" s="66"/>
      <c r="B1327" s="53"/>
      <c r="C1327" s="67"/>
      <c r="D1327" s="67"/>
      <c r="E1327" s="92"/>
      <c r="F1327" s="92"/>
      <c r="G1327" s="92"/>
      <c r="H1327" s="92"/>
      <c r="I1327" s="92"/>
      <c r="J1327" s="92"/>
      <c r="K1327" s="163"/>
      <c r="L1327" s="166"/>
      <c r="M1327" s="158"/>
      <c r="N1327" s="68"/>
      <c r="O1327" s="82">
        <f t="shared" si="314"/>
        <v>0</v>
      </c>
    </row>
    <row r="1328" spans="1:15" s="83" customFormat="1" ht="18" customHeight="1" x14ac:dyDescent="0.2">
      <c r="A1328" s="66"/>
      <c r="B1328" s="53"/>
      <c r="C1328" s="67"/>
      <c r="D1328" s="67"/>
      <c r="E1328" s="92"/>
      <c r="F1328" s="92"/>
      <c r="G1328" s="92"/>
      <c r="H1328" s="92"/>
      <c r="I1328" s="92"/>
      <c r="J1328" s="92"/>
      <c r="K1328" s="163"/>
      <c r="L1328" s="166"/>
      <c r="M1328" s="158"/>
      <c r="N1328" s="68"/>
      <c r="O1328" s="82">
        <f t="shared" si="314"/>
        <v>0</v>
      </c>
    </row>
    <row r="1329" spans="1:15" ht="13.15" customHeight="1" x14ac:dyDescent="0.2">
      <c r="O1329" s="82">
        <f t="shared" si="314"/>
        <v>0</v>
      </c>
    </row>
    <row r="1330" spans="1:15" ht="18" customHeight="1" x14ac:dyDescent="0.2">
      <c r="A1330" s="66" t="s">
        <v>59</v>
      </c>
      <c r="B1330" s="45" t="s">
        <v>89</v>
      </c>
      <c r="C1330" s="41" t="s">
        <v>4</v>
      </c>
      <c r="D1330" s="41"/>
      <c r="E1330" s="90"/>
      <c r="F1330" s="90"/>
      <c r="G1330" s="90"/>
      <c r="H1330" s="90"/>
      <c r="I1330" s="90"/>
      <c r="J1330" s="90">
        <f>SUM(I1332:I1339)</f>
        <v>68.480000000000018</v>
      </c>
      <c r="K1330" s="163">
        <v>70</v>
      </c>
      <c r="L1330" s="163">
        <v>20</v>
      </c>
      <c r="M1330" s="158">
        <f>+L1330*K1330</f>
        <v>1400</v>
      </c>
      <c r="N1330" s="43"/>
      <c r="O1330" s="82">
        <f t="shared" si="314"/>
        <v>1.5199999999999818</v>
      </c>
    </row>
    <row r="1331" spans="1:15" s="5" customFormat="1" ht="16.149999999999999" customHeight="1" x14ac:dyDescent="0.2">
      <c r="A1331" s="30"/>
      <c r="B1331" s="98" t="s">
        <v>465</v>
      </c>
      <c r="C1331" s="32"/>
      <c r="D1331" s="32"/>
      <c r="E1331" s="89"/>
      <c r="F1331" s="89"/>
      <c r="G1331" s="89"/>
      <c r="H1331" s="89">
        <f t="shared" ref="H1331" si="328">PRODUCT(D1331:G1331)</f>
        <v>0</v>
      </c>
      <c r="I1331" s="89"/>
      <c r="J1331" s="89"/>
      <c r="K1331" s="157"/>
      <c r="L1331" s="157"/>
      <c r="M1331" s="158"/>
      <c r="O1331" s="82">
        <f t="shared" si="314"/>
        <v>0</v>
      </c>
    </row>
    <row r="1332" spans="1:15" s="5" customFormat="1" ht="16.149999999999999" customHeight="1" x14ac:dyDescent="0.2">
      <c r="A1332" s="30"/>
      <c r="B1332" s="44" t="s">
        <v>487</v>
      </c>
      <c r="C1332" s="41"/>
      <c r="D1332" s="41">
        <v>4</v>
      </c>
      <c r="E1332" s="109">
        <v>2.1</v>
      </c>
      <c r="F1332" s="109"/>
      <c r="G1332" s="109">
        <f>3.1-2.3</f>
        <v>0.80000000000000027</v>
      </c>
      <c r="H1332" s="89">
        <f t="shared" ref="H1332:H1333" si="329">PRODUCT(D1332:G1332)</f>
        <v>6.7200000000000024</v>
      </c>
      <c r="I1332" s="89"/>
      <c r="K1332" s="157"/>
      <c r="L1332" s="157"/>
      <c r="M1332" s="158"/>
      <c r="O1332" s="82">
        <f t="shared" si="314"/>
        <v>0</v>
      </c>
    </row>
    <row r="1333" spans="1:15" ht="15.95" customHeight="1" x14ac:dyDescent="0.2">
      <c r="A1333" s="30"/>
      <c r="B1333" s="46"/>
      <c r="C1333" s="41"/>
      <c r="D1333" s="41">
        <v>4</v>
      </c>
      <c r="E1333" s="90">
        <v>1.9</v>
      </c>
      <c r="F1333" s="90"/>
      <c r="G1333" s="109">
        <f>3.1-2.3</f>
        <v>0.80000000000000027</v>
      </c>
      <c r="H1333" s="89">
        <f t="shared" si="329"/>
        <v>6.0800000000000018</v>
      </c>
      <c r="I1333" s="90"/>
      <c r="J1333" s="90"/>
      <c r="K1333" s="157"/>
      <c r="L1333" s="157"/>
      <c r="M1333" s="158"/>
      <c r="O1333" s="82">
        <f t="shared" si="314"/>
        <v>0</v>
      </c>
    </row>
    <row r="1334" spans="1:15" ht="15.95" customHeight="1" x14ac:dyDescent="0.2">
      <c r="A1334" s="30"/>
      <c r="B1334" s="46"/>
      <c r="C1334" s="41"/>
      <c r="D1334" s="41"/>
      <c r="E1334" s="90"/>
      <c r="F1334" s="90"/>
      <c r="G1334" s="90"/>
      <c r="H1334" s="89"/>
      <c r="I1334" s="90">
        <f>SUM(H1331:H1334)</f>
        <v>12.800000000000004</v>
      </c>
      <c r="J1334" s="90"/>
      <c r="K1334" s="157"/>
      <c r="L1334" s="157"/>
      <c r="M1334" s="158"/>
      <c r="O1334" s="82">
        <f t="shared" si="314"/>
        <v>0</v>
      </c>
    </row>
    <row r="1335" spans="1:15" ht="15.95" customHeight="1" x14ac:dyDescent="0.2">
      <c r="A1335" s="30"/>
      <c r="B1335" s="46"/>
      <c r="C1335" s="41"/>
      <c r="D1335" s="41"/>
      <c r="E1335" s="90"/>
      <c r="F1335" s="90"/>
      <c r="G1335" s="90"/>
      <c r="H1335" s="89"/>
      <c r="I1335" s="90"/>
      <c r="J1335" s="90"/>
      <c r="K1335" s="157"/>
      <c r="L1335" s="157"/>
      <c r="M1335" s="158"/>
      <c r="O1335" s="82">
        <f t="shared" si="314"/>
        <v>0</v>
      </c>
    </row>
    <row r="1336" spans="1:15" s="5" customFormat="1" ht="16.149999999999999" customHeight="1" x14ac:dyDescent="0.2">
      <c r="A1336" s="30"/>
      <c r="B1336" s="98" t="s">
        <v>466</v>
      </c>
      <c r="C1336" s="32"/>
      <c r="D1336" s="32"/>
      <c r="E1336" s="89"/>
      <c r="F1336" s="89"/>
      <c r="G1336" s="89"/>
      <c r="H1336" s="89">
        <f t="shared" ref="H1336:H1338" si="330">PRODUCT(D1336:G1336)</f>
        <v>0</v>
      </c>
      <c r="I1336" s="89"/>
      <c r="J1336" s="89"/>
      <c r="K1336" s="157"/>
      <c r="L1336" s="157"/>
      <c r="M1336" s="158"/>
      <c r="O1336" s="82">
        <f t="shared" si="314"/>
        <v>0</v>
      </c>
    </row>
    <row r="1337" spans="1:15" ht="15.95" customHeight="1" x14ac:dyDescent="0.2">
      <c r="A1337" s="30"/>
      <c r="B1337" s="46"/>
      <c r="C1337" s="41"/>
      <c r="D1337" s="41">
        <v>8</v>
      </c>
      <c r="E1337" s="90">
        <v>4.5999999999999996</v>
      </c>
      <c r="F1337" s="90"/>
      <c r="G1337" s="109">
        <f>3.1-2.3</f>
        <v>0.80000000000000027</v>
      </c>
      <c r="H1337" s="89">
        <f t="shared" si="330"/>
        <v>29.440000000000008</v>
      </c>
      <c r="I1337" s="90"/>
      <c r="J1337" s="90"/>
      <c r="K1337" s="157"/>
      <c r="L1337" s="157"/>
      <c r="M1337" s="158"/>
      <c r="O1337" s="82">
        <f t="shared" si="314"/>
        <v>0</v>
      </c>
    </row>
    <row r="1338" spans="1:15" ht="15.95" customHeight="1" x14ac:dyDescent="0.2">
      <c r="A1338" s="30"/>
      <c r="B1338" s="46"/>
      <c r="C1338" s="41"/>
      <c r="D1338" s="41">
        <v>8</v>
      </c>
      <c r="E1338" s="90">
        <v>4.0999999999999996</v>
      </c>
      <c r="F1338" s="90"/>
      <c r="G1338" s="109">
        <f>3.1-2.3</f>
        <v>0.80000000000000027</v>
      </c>
      <c r="H1338" s="89">
        <f t="shared" si="330"/>
        <v>26.240000000000006</v>
      </c>
      <c r="I1338" s="90"/>
      <c r="J1338" s="90"/>
      <c r="K1338" s="157"/>
      <c r="L1338" s="157"/>
      <c r="M1338" s="158"/>
      <c r="O1338" s="82">
        <f t="shared" si="314"/>
        <v>0</v>
      </c>
    </row>
    <row r="1339" spans="1:15" ht="15.95" customHeight="1" x14ac:dyDescent="0.2">
      <c r="A1339" s="30"/>
      <c r="B1339" s="46"/>
      <c r="C1339" s="41"/>
      <c r="D1339" s="41"/>
      <c r="E1339" s="90"/>
      <c r="F1339" s="90"/>
      <c r="G1339" s="90"/>
      <c r="H1339" s="89"/>
      <c r="I1339" s="90">
        <f>SUM(H1337:H1339)</f>
        <v>55.680000000000014</v>
      </c>
      <c r="J1339" s="90"/>
      <c r="K1339" s="157"/>
      <c r="L1339" s="157"/>
      <c r="M1339" s="158"/>
      <c r="O1339" s="82">
        <f t="shared" si="314"/>
        <v>0</v>
      </c>
    </row>
    <row r="1340" spans="1:15" ht="18" customHeight="1" x14ac:dyDescent="0.2">
      <c r="A1340" s="66" t="s">
        <v>348</v>
      </c>
      <c r="B1340" s="46" t="s">
        <v>87</v>
      </c>
      <c r="C1340" s="41" t="s">
        <v>4</v>
      </c>
      <c r="D1340" s="41"/>
      <c r="E1340" s="90"/>
      <c r="F1340" s="90"/>
      <c r="G1340" s="90"/>
      <c r="H1340" s="90"/>
      <c r="I1340" s="90"/>
      <c r="J1340" s="90">
        <f>SUM(I1342:I1364)</f>
        <v>282.3648</v>
      </c>
      <c r="K1340" s="163">
        <v>310</v>
      </c>
      <c r="L1340" s="163">
        <v>20</v>
      </c>
      <c r="M1340" s="158">
        <f>+L1340*K1340</f>
        <v>6200</v>
      </c>
      <c r="N1340" s="43"/>
      <c r="O1340" s="82">
        <f t="shared" si="314"/>
        <v>27.635199999999998</v>
      </c>
    </row>
    <row r="1341" spans="1:15" ht="15.95" customHeight="1" x14ac:dyDescent="0.2">
      <c r="A1341" s="40"/>
      <c r="B1341" s="118" t="s">
        <v>505</v>
      </c>
      <c r="C1341" s="41"/>
      <c r="D1341" s="41">
        <v>1</v>
      </c>
      <c r="E1341" s="90">
        <f>J599</f>
        <v>0</v>
      </c>
      <c r="F1341" s="90"/>
      <c r="G1341" s="90"/>
      <c r="H1341" s="89">
        <f t="shared" ref="H1341" si="331">PRODUCT(D1341:G1341)</f>
        <v>0</v>
      </c>
      <c r="I1341" s="90"/>
      <c r="J1341" s="90"/>
      <c r="K1341" s="163"/>
      <c r="L1341" s="163"/>
      <c r="M1341" s="158"/>
      <c r="O1341" s="82">
        <f t="shared" si="314"/>
        <v>0</v>
      </c>
    </row>
    <row r="1342" spans="1:15" ht="18" customHeight="1" x14ac:dyDescent="0.2">
      <c r="A1342" s="30"/>
      <c r="B1342" s="39" t="s">
        <v>443</v>
      </c>
      <c r="C1342" s="32"/>
      <c r="D1342" s="32"/>
      <c r="E1342" s="89"/>
      <c r="F1342" s="89"/>
      <c r="G1342" s="89"/>
      <c r="H1342" s="89"/>
      <c r="I1342" s="89"/>
      <c r="J1342" s="89"/>
      <c r="K1342" s="157"/>
      <c r="L1342" s="157"/>
      <c r="M1342" s="158"/>
      <c r="O1342" s="82">
        <f t="shared" si="314"/>
        <v>0</v>
      </c>
    </row>
    <row r="1343" spans="1:15" s="5" customFormat="1" ht="16.149999999999999" customHeight="1" x14ac:dyDescent="0.2">
      <c r="A1343" s="30"/>
      <c r="B1343" s="98" t="s">
        <v>465</v>
      </c>
      <c r="C1343" s="32"/>
      <c r="D1343" s="32"/>
      <c r="E1343" s="89"/>
      <c r="F1343" s="89"/>
      <c r="G1343" s="89"/>
      <c r="H1343" s="89">
        <f t="shared" ref="H1343:H1346" si="332">PRODUCT(D1343:G1343)</f>
        <v>0</v>
      </c>
      <c r="I1343" s="89"/>
      <c r="J1343" s="89"/>
      <c r="K1343" s="157"/>
      <c r="L1343" s="157"/>
      <c r="M1343" s="158"/>
      <c r="O1343" s="82">
        <f t="shared" si="314"/>
        <v>0</v>
      </c>
    </row>
    <row r="1344" spans="1:15" ht="16.5" customHeight="1" x14ac:dyDescent="0.2">
      <c r="A1344" s="40"/>
      <c r="B1344" s="45"/>
      <c r="C1344" s="41"/>
      <c r="D1344" s="41">
        <v>3</v>
      </c>
      <c r="E1344" s="90">
        <v>0.9</v>
      </c>
      <c r="F1344" s="90">
        <v>2.4</v>
      </c>
      <c r="G1344" s="90">
        <v>2.2000000000000002</v>
      </c>
      <c r="H1344" s="89">
        <f t="shared" si="332"/>
        <v>14.256000000000002</v>
      </c>
      <c r="I1344" s="90"/>
      <c r="J1344" s="90"/>
      <c r="K1344" s="163"/>
      <c r="L1344" s="163"/>
      <c r="M1344" s="158"/>
      <c r="O1344" s="82">
        <f t="shared" si="314"/>
        <v>0</v>
      </c>
    </row>
    <row r="1345" spans="1:15" ht="16.5" customHeight="1" x14ac:dyDescent="0.2">
      <c r="A1345" s="40"/>
      <c r="B1345" s="45"/>
      <c r="C1345" s="41"/>
      <c r="D1345" s="41">
        <v>2</v>
      </c>
      <c r="E1345" s="90">
        <v>0.8</v>
      </c>
      <c r="F1345" s="90">
        <v>2.4</v>
      </c>
      <c r="G1345" s="90">
        <v>2.2000000000000002</v>
      </c>
      <c r="H1345" s="89">
        <f t="shared" si="332"/>
        <v>8.4480000000000004</v>
      </c>
      <c r="I1345" s="90"/>
      <c r="J1345" s="90"/>
      <c r="K1345" s="163"/>
      <c r="L1345" s="163"/>
      <c r="M1345" s="158"/>
      <c r="O1345" s="82">
        <f t="shared" si="314"/>
        <v>0</v>
      </c>
    </row>
    <row r="1346" spans="1:15" ht="16.5" customHeight="1" x14ac:dyDescent="0.2">
      <c r="A1346" s="40"/>
      <c r="B1346" s="45"/>
      <c r="C1346" s="41"/>
      <c r="D1346" s="41">
        <v>1</v>
      </c>
      <c r="E1346" s="90">
        <v>1.8</v>
      </c>
      <c r="F1346" s="90">
        <v>2.4</v>
      </c>
      <c r="G1346" s="90">
        <v>2.2000000000000002</v>
      </c>
      <c r="H1346" s="89">
        <f t="shared" si="332"/>
        <v>9.5040000000000013</v>
      </c>
      <c r="I1346" s="90"/>
      <c r="J1346" s="90"/>
      <c r="K1346" s="163"/>
      <c r="L1346" s="163"/>
      <c r="M1346" s="158"/>
      <c r="O1346" s="82">
        <f t="shared" si="314"/>
        <v>0</v>
      </c>
    </row>
    <row r="1347" spans="1:15" ht="18" customHeight="1" x14ac:dyDescent="0.2">
      <c r="A1347" s="30"/>
      <c r="B1347" s="39" t="s">
        <v>444</v>
      </c>
      <c r="C1347" s="32"/>
      <c r="D1347" s="32"/>
      <c r="E1347" s="89"/>
      <c r="F1347" s="89"/>
      <c r="G1347" s="89"/>
      <c r="H1347" s="89"/>
      <c r="I1347" s="89"/>
      <c r="J1347" s="89"/>
      <c r="K1347" s="157"/>
      <c r="L1347" s="157"/>
      <c r="M1347" s="158"/>
      <c r="O1347" s="82">
        <f t="shared" si="314"/>
        <v>0</v>
      </c>
    </row>
    <row r="1348" spans="1:15" s="5" customFormat="1" ht="16.149999999999999" customHeight="1" x14ac:dyDescent="0.2">
      <c r="A1348" s="30"/>
      <c r="B1348" s="98" t="s">
        <v>464</v>
      </c>
      <c r="C1348" s="32"/>
      <c r="D1348" s="32"/>
      <c r="E1348" s="89"/>
      <c r="F1348" s="89"/>
      <c r="G1348" s="89"/>
      <c r="H1348" s="89"/>
      <c r="I1348" s="89"/>
      <c r="K1348" s="157"/>
      <c r="L1348" s="157"/>
      <c r="M1348" s="158"/>
      <c r="O1348" s="82">
        <f t="shared" si="314"/>
        <v>0</v>
      </c>
    </row>
    <row r="1349" spans="1:15" ht="16.5" customHeight="1" x14ac:dyDescent="0.2">
      <c r="A1349" s="40"/>
      <c r="B1349" s="45"/>
      <c r="C1349" s="41"/>
      <c r="D1349" s="41">
        <v>4</v>
      </c>
      <c r="E1349" s="90">
        <v>1.1399999999999999</v>
      </c>
      <c r="F1349" s="90">
        <v>2.4</v>
      </c>
      <c r="G1349" s="90">
        <v>2.2000000000000002</v>
      </c>
      <c r="H1349" s="89">
        <f t="shared" ref="H1349" si="333">PRODUCT(D1349:G1349)</f>
        <v>24.076799999999999</v>
      </c>
      <c r="I1349" s="90"/>
      <c r="J1349" s="90"/>
      <c r="K1349" s="163"/>
      <c r="L1349" s="163"/>
      <c r="M1349" s="158"/>
      <c r="O1349" s="82">
        <f t="shared" si="314"/>
        <v>0</v>
      </c>
    </row>
    <row r="1350" spans="1:15" s="5" customFormat="1" ht="16.149999999999999" customHeight="1" x14ac:dyDescent="0.2">
      <c r="A1350" s="30"/>
      <c r="B1350" s="98" t="s">
        <v>466</v>
      </c>
      <c r="C1350" s="32"/>
      <c r="D1350" s="32"/>
      <c r="E1350" s="89"/>
      <c r="F1350" s="89"/>
      <c r="G1350" s="89"/>
      <c r="H1350" s="89">
        <f t="shared" ref="H1350:H1351" si="334">PRODUCT(D1350:G1350)</f>
        <v>0</v>
      </c>
      <c r="I1350" s="89"/>
      <c r="J1350" s="89"/>
      <c r="K1350" s="157"/>
      <c r="L1350" s="157"/>
      <c r="M1350" s="158"/>
      <c r="O1350" s="82">
        <f t="shared" ref="O1350:O1413" si="335">K1350-J1350</f>
        <v>0</v>
      </c>
    </row>
    <row r="1351" spans="1:15" ht="16.5" customHeight="1" x14ac:dyDescent="0.2">
      <c r="A1351" s="40"/>
      <c r="B1351" s="45"/>
      <c r="C1351" s="41"/>
      <c r="D1351" s="41">
        <v>12</v>
      </c>
      <c r="E1351" s="90">
        <v>0.8</v>
      </c>
      <c r="F1351" s="90">
        <v>2.4</v>
      </c>
      <c r="G1351" s="90">
        <v>2.2000000000000002</v>
      </c>
      <c r="H1351" s="89">
        <f t="shared" si="334"/>
        <v>50.688000000000009</v>
      </c>
      <c r="I1351" s="90"/>
      <c r="J1351" s="90"/>
      <c r="K1351" s="163"/>
      <c r="L1351" s="163"/>
      <c r="M1351" s="158"/>
      <c r="O1351" s="82">
        <f t="shared" si="335"/>
        <v>0</v>
      </c>
    </row>
    <row r="1352" spans="1:15" ht="18" customHeight="1" x14ac:dyDescent="0.2">
      <c r="A1352" s="30"/>
      <c r="B1352" s="39" t="s">
        <v>92</v>
      </c>
      <c r="C1352" s="41"/>
      <c r="D1352" s="41"/>
      <c r="E1352" s="90"/>
      <c r="F1352" s="90"/>
      <c r="G1352" s="90"/>
      <c r="H1352" s="90"/>
      <c r="I1352" s="90"/>
      <c r="J1352" s="90"/>
      <c r="K1352" s="157"/>
      <c r="L1352" s="157"/>
      <c r="M1352" s="158"/>
      <c r="O1352" s="82">
        <f t="shared" si="335"/>
        <v>0</v>
      </c>
    </row>
    <row r="1353" spans="1:15" s="5" customFormat="1" ht="16.149999999999999" customHeight="1" x14ac:dyDescent="0.2">
      <c r="A1353" s="30"/>
      <c r="B1353" s="98" t="s">
        <v>464</v>
      </c>
      <c r="C1353" s="32"/>
      <c r="D1353" s="32"/>
      <c r="E1353" s="89"/>
      <c r="F1353" s="89"/>
      <c r="G1353" s="89"/>
      <c r="H1353" s="89"/>
      <c r="I1353" s="89"/>
      <c r="K1353" s="157"/>
      <c r="L1353" s="157"/>
      <c r="M1353" s="158"/>
      <c r="O1353" s="82">
        <f t="shared" si="335"/>
        <v>0</v>
      </c>
    </row>
    <row r="1354" spans="1:15" ht="16.5" customHeight="1" x14ac:dyDescent="0.2">
      <c r="A1354" s="40"/>
      <c r="B1354" s="45"/>
      <c r="C1354" s="41"/>
      <c r="D1354" s="41">
        <v>4</v>
      </c>
      <c r="E1354" s="90">
        <v>1.2</v>
      </c>
      <c r="F1354" s="90">
        <v>2.4</v>
      </c>
      <c r="G1354" s="90">
        <v>2.8</v>
      </c>
      <c r="H1354" s="89">
        <f t="shared" ref="H1354:H1363" si="336">PRODUCT(D1354:G1354)</f>
        <v>32.256</v>
      </c>
      <c r="I1354" s="90"/>
      <c r="J1354" s="90"/>
      <c r="K1354" s="163"/>
      <c r="L1354" s="163"/>
      <c r="M1354" s="158"/>
      <c r="O1354" s="82">
        <f t="shared" si="335"/>
        <v>0</v>
      </c>
    </row>
    <row r="1355" spans="1:15" s="5" customFormat="1" ht="16.149999999999999" customHeight="1" x14ac:dyDescent="0.2">
      <c r="A1355" s="30"/>
      <c r="B1355" s="98" t="s">
        <v>465</v>
      </c>
      <c r="C1355" s="32"/>
      <c r="D1355" s="32"/>
      <c r="E1355" s="89"/>
      <c r="F1355" s="89"/>
      <c r="G1355" s="89"/>
      <c r="H1355" s="89">
        <f t="shared" si="336"/>
        <v>0</v>
      </c>
      <c r="I1355" s="89"/>
      <c r="J1355" s="89"/>
      <c r="K1355" s="157"/>
      <c r="L1355" s="157"/>
      <c r="M1355" s="158"/>
      <c r="O1355" s="82">
        <f t="shared" si="335"/>
        <v>0</v>
      </c>
    </row>
    <row r="1356" spans="1:15" ht="16.5" customHeight="1" x14ac:dyDescent="0.2">
      <c r="A1356" s="40"/>
      <c r="B1356" s="45"/>
      <c r="C1356" s="41"/>
      <c r="D1356" s="41"/>
      <c r="E1356" s="90"/>
      <c r="F1356" s="90"/>
      <c r="G1356" s="90"/>
      <c r="H1356" s="89">
        <f t="shared" si="336"/>
        <v>0</v>
      </c>
      <c r="I1356" s="90"/>
      <c r="J1356" s="90"/>
      <c r="K1356" s="163"/>
      <c r="L1356" s="163"/>
      <c r="M1356" s="158"/>
      <c r="O1356" s="82">
        <f t="shared" si="335"/>
        <v>0</v>
      </c>
    </row>
    <row r="1357" spans="1:15" ht="18" customHeight="1" x14ac:dyDescent="0.2">
      <c r="A1357" s="30"/>
      <c r="B1357" s="46"/>
      <c r="C1357" s="41"/>
      <c r="D1357" s="41">
        <v>1</v>
      </c>
      <c r="E1357" s="90">
        <v>3</v>
      </c>
      <c r="F1357" s="90">
        <v>2.4</v>
      </c>
      <c r="G1357" s="90">
        <v>2.8</v>
      </c>
      <c r="H1357" s="89">
        <f t="shared" si="336"/>
        <v>20.159999999999997</v>
      </c>
      <c r="I1357" s="90"/>
      <c r="J1357" s="90"/>
      <c r="K1357" s="157"/>
      <c r="L1357" s="157"/>
      <c r="M1357" s="158"/>
      <c r="O1357" s="82">
        <f t="shared" si="335"/>
        <v>0</v>
      </c>
    </row>
    <row r="1358" spans="1:15" ht="18" customHeight="1" x14ac:dyDescent="0.2">
      <c r="A1358" s="30"/>
      <c r="B1358" s="46"/>
      <c r="C1358" s="41"/>
      <c r="D1358" s="41">
        <v>1</v>
      </c>
      <c r="E1358" s="90">
        <v>1.8</v>
      </c>
      <c r="F1358" s="90">
        <v>2.4</v>
      </c>
      <c r="G1358" s="90">
        <v>2.8</v>
      </c>
      <c r="H1358" s="89">
        <f t="shared" si="336"/>
        <v>12.096</v>
      </c>
      <c r="I1358" s="90"/>
      <c r="J1358" s="90"/>
      <c r="K1358" s="157"/>
      <c r="L1358" s="157"/>
      <c r="M1358" s="158"/>
      <c r="O1358" s="82">
        <f t="shared" si="335"/>
        <v>0</v>
      </c>
    </row>
    <row r="1359" spans="1:15" ht="18" customHeight="1" x14ac:dyDescent="0.2">
      <c r="A1359" s="30"/>
      <c r="B1359" s="46"/>
      <c r="C1359" s="41"/>
      <c r="D1359" s="41"/>
      <c r="E1359" s="90"/>
      <c r="F1359" s="90"/>
      <c r="G1359" s="90"/>
      <c r="H1359" s="89">
        <f t="shared" si="336"/>
        <v>0</v>
      </c>
      <c r="I1359" s="90">
        <f>SUM(H1343:H1359)</f>
        <v>171.48480000000001</v>
      </c>
      <c r="J1359" s="90"/>
      <c r="K1359" s="157"/>
      <c r="L1359" s="157"/>
      <c r="M1359" s="158"/>
      <c r="O1359" s="82">
        <f t="shared" si="335"/>
        <v>0</v>
      </c>
    </row>
    <row r="1360" spans="1:15" ht="18" customHeight="1" x14ac:dyDescent="0.2">
      <c r="A1360" s="66"/>
      <c r="B1360" s="46"/>
      <c r="C1360" s="41"/>
      <c r="D1360" s="41"/>
      <c r="E1360" s="90"/>
      <c r="F1360" s="90"/>
      <c r="G1360" s="90"/>
      <c r="H1360" s="89">
        <f t="shared" si="336"/>
        <v>0</v>
      </c>
      <c r="I1360" s="90"/>
      <c r="J1360" s="90"/>
      <c r="K1360" s="163"/>
      <c r="L1360" s="163"/>
      <c r="M1360" s="158"/>
      <c r="N1360" s="43"/>
      <c r="O1360" s="82">
        <f t="shared" si="335"/>
        <v>0</v>
      </c>
    </row>
    <row r="1361" spans="1:15" ht="16.5" customHeight="1" x14ac:dyDescent="0.2">
      <c r="A1361" s="40"/>
      <c r="B1361" s="119" t="s">
        <v>506</v>
      </c>
      <c r="C1361" s="41"/>
      <c r="D1361" s="41"/>
      <c r="E1361" s="90"/>
      <c r="F1361" s="90"/>
      <c r="G1361" s="90"/>
      <c r="H1361" s="89">
        <f t="shared" si="336"/>
        <v>0</v>
      </c>
      <c r="I1361" s="90"/>
      <c r="J1361" s="90"/>
      <c r="K1361" s="163"/>
      <c r="L1361" s="163"/>
      <c r="M1361" s="158"/>
      <c r="O1361" s="82">
        <f t="shared" si="335"/>
        <v>0</v>
      </c>
    </row>
    <row r="1362" spans="1:15" ht="18" customHeight="1" x14ac:dyDescent="0.2">
      <c r="A1362" s="66"/>
      <c r="B1362" s="46"/>
      <c r="C1362" s="41"/>
      <c r="D1362" s="41">
        <v>21</v>
      </c>
      <c r="E1362" s="90">
        <v>1</v>
      </c>
      <c r="F1362" s="90">
        <v>2.4</v>
      </c>
      <c r="G1362" s="90">
        <v>2.2000000000000002</v>
      </c>
      <c r="H1362" s="89">
        <f t="shared" si="336"/>
        <v>110.88000000000001</v>
      </c>
      <c r="I1362" s="90"/>
      <c r="J1362" s="90"/>
      <c r="K1362" s="163"/>
      <c r="L1362" s="163"/>
      <c r="M1362" s="158"/>
      <c r="N1362" s="43"/>
      <c r="O1362" s="82">
        <f t="shared" si="335"/>
        <v>0</v>
      </c>
    </row>
    <row r="1363" spans="1:15" ht="18" customHeight="1" x14ac:dyDescent="0.2">
      <c r="A1363" s="66"/>
      <c r="B1363" s="46"/>
      <c r="C1363" s="41"/>
      <c r="D1363" s="41"/>
      <c r="E1363" s="90"/>
      <c r="F1363" s="90"/>
      <c r="G1363" s="90"/>
      <c r="H1363" s="89">
        <f t="shared" si="336"/>
        <v>0</v>
      </c>
      <c r="I1363" s="90">
        <f>SUM(H1362:H1363)</f>
        <v>110.88000000000001</v>
      </c>
      <c r="J1363" s="90"/>
      <c r="K1363" s="163"/>
      <c r="L1363" s="163"/>
      <c r="M1363" s="158"/>
      <c r="N1363" s="43"/>
      <c r="O1363" s="82">
        <f t="shared" si="335"/>
        <v>0</v>
      </c>
    </row>
    <row r="1364" spans="1:15" ht="18" customHeight="1" x14ac:dyDescent="0.2">
      <c r="A1364" s="66"/>
      <c r="B1364" s="46"/>
      <c r="C1364" s="41"/>
      <c r="D1364" s="41"/>
      <c r="E1364" s="90"/>
      <c r="F1364" s="90"/>
      <c r="G1364" s="90"/>
      <c r="H1364" s="90"/>
      <c r="I1364" s="90"/>
      <c r="J1364" s="90"/>
      <c r="K1364" s="163"/>
      <c r="L1364" s="163"/>
      <c r="M1364" s="158"/>
      <c r="N1364" s="43"/>
      <c r="O1364" s="82">
        <f t="shared" si="335"/>
        <v>0</v>
      </c>
    </row>
    <row r="1365" spans="1:15" ht="18" customHeight="1" x14ac:dyDescent="0.2">
      <c r="A1365" s="66" t="s">
        <v>60</v>
      </c>
      <c r="B1365" s="39" t="s">
        <v>88</v>
      </c>
      <c r="C1365" s="41" t="s">
        <v>4</v>
      </c>
      <c r="D1365" s="41"/>
      <c r="E1365" s="90"/>
      <c r="F1365" s="90"/>
      <c r="G1365" s="90"/>
      <c r="H1365" s="90"/>
      <c r="I1365" s="90"/>
      <c r="J1365" s="90">
        <f>SUM(I1366:I1397)</f>
        <v>351.11600000000004</v>
      </c>
      <c r="K1365" s="163">
        <v>380</v>
      </c>
      <c r="L1365" s="163">
        <v>20</v>
      </c>
      <c r="M1365" s="158">
        <f>+L1365*K1365</f>
        <v>7600</v>
      </c>
      <c r="N1365" s="43"/>
      <c r="O1365" s="82">
        <f t="shared" si="335"/>
        <v>28.883999999999958</v>
      </c>
    </row>
    <row r="1366" spans="1:15" ht="15.95" customHeight="1" x14ac:dyDescent="0.2">
      <c r="A1366" s="40"/>
      <c r="B1366" s="118" t="s">
        <v>505</v>
      </c>
      <c r="C1366" s="41"/>
      <c r="D1366" s="41">
        <v>1</v>
      </c>
      <c r="E1366" s="90">
        <f>J624</f>
        <v>0</v>
      </c>
      <c r="F1366" s="90"/>
      <c r="G1366" s="90"/>
      <c r="H1366" s="89">
        <f t="shared" ref="H1366" si="337">PRODUCT(D1366:G1366)</f>
        <v>0</v>
      </c>
      <c r="I1366" s="90"/>
      <c r="J1366" s="90"/>
      <c r="K1366" s="163"/>
      <c r="L1366" s="163"/>
      <c r="M1366" s="158"/>
      <c r="O1366" s="82">
        <f t="shared" si="335"/>
        <v>0</v>
      </c>
    </row>
    <row r="1367" spans="1:15" ht="18" customHeight="1" x14ac:dyDescent="0.2">
      <c r="A1367" s="57"/>
      <c r="B1367" s="46" t="s">
        <v>121</v>
      </c>
      <c r="C1367" s="41" t="s">
        <v>4</v>
      </c>
      <c r="D1367" s="41"/>
      <c r="E1367" s="90"/>
      <c r="F1367" s="90"/>
      <c r="G1367" s="90"/>
      <c r="H1367" s="90"/>
      <c r="I1367" s="90"/>
      <c r="J1367" s="90"/>
      <c r="K1367" s="163"/>
      <c r="L1367" s="163"/>
      <c r="M1367" s="158"/>
      <c r="O1367" s="82">
        <f t="shared" si="335"/>
        <v>0</v>
      </c>
    </row>
    <row r="1368" spans="1:15" ht="18" customHeight="1" x14ac:dyDescent="0.2">
      <c r="A1368" s="57"/>
      <c r="B1368" s="46" t="s">
        <v>518</v>
      </c>
      <c r="C1368" s="41"/>
      <c r="D1368" s="41">
        <v>2</v>
      </c>
      <c r="E1368" s="90">
        <v>7</v>
      </c>
      <c r="F1368" s="90">
        <v>3</v>
      </c>
      <c r="G1368" s="90">
        <v>2</v>
      </c>
      <c r="H1368" s="89">
        <f t="shared" ref="H1368:H1370" si="338">PRODUCT(D1368:G1368)</f>
        <v>84</v>
      </c>
      <c r="I1368" s="90">
        <f>H1368</f>
        <v>84</v>
      </c>
      <c r="J1368" s="90"/>
      <c r="K1368" s="163"/>
      <c r="L1368" s="163"/>
      <c r="M1368" s="158"/>
      <c r="O1368" s="82">
        <f t="shared" si="335"/>
        <v>0</v>
      </c>
    </row>
    <row r="1369" spans="1:15" ht="18" customHeight="1" x14ac:dyDescent="0.2">
      <c r="A1369" s="57"/>
      <c r="B1369" s="46"/>
      <c r="C1369" s="41"/>
      <c r="D1369" s="41"/>
      <c r="E1369" s="90"/>
      <c r="F1369" s="90"/>
      <c r="G1369" s="90"/>
      <c r="H1369" s="89">
        <f t="shared" si="338"/>
        <v>0</v>
      </c>
      <c r="I1369" s="90"/>
      <c r="J1369" s="90"/>
      <c r="K1369" s="163"/>
      <c r="L1369" s="163"/>
      <c r="M1369" s="158"/>
      <c r="O1369" s="82">
        <f t="shared" si="335"/>
        <v>0</v>
      </c>
    </row>
    <row r="1370" spans="1:15" ht="18" customHeight="1" x14ac:dyDescent="0.2">
      <c r="A1370" s="57"/>
      <c r="B1370" s="46" t="s">
        <v>516</v>
      </c>
      <c r="C1370" s="41" t="s">
        <v>4</v>
      </c>
      <c r="D1370" s="41"/>
      <c r="E1370" s="90"/>
      <c r="F1370" s="90"/>
      <c r="G1370" s="90"/>
      <c r="H1370" s="89">
        <f t="shared" si="338"/>
        <v>0</v>
      </c>
      <c r="I1370" s="90"/>
      <c r="J1370" s="90"/>
      <c r="K1370" s="163"/>
      <c r="L1370" s="163"/>
      <c r="M1370" s="158"/>
      <c r="O1370" s="82">
        <f t="shared" si="335"/>
        <v>0</v>
      </c>
    </row>
    <row r="1371" spans="1:15" s="5" customFormat="1" ht="16.149999999999999" customHeight="1" x14ac:dyDescent="0.2">
      <c r="A1371" s="30"/>
      <c r="B1371" s="98" t="s">
        <v>464</v>
      </c>
      <c r="C1371" s="32"/>
      <c r="D1371" s="32"/>
      <c r="E1371" s="89"/>
      <c r="F1371" s="89"/>
      <c r="G1371" s="89"/>
      <c r="H1371" s="89"/>
      <c r="I1371" s="89"/>
      <c r="K1371" s="157"/>
      <c r="L1371" s="157"/>
      <c r="M1371" s="158"/>
      <c r="O1371" s="82">
        <f t="shared" si="335"/>
        <v>0</v>
      </c>
    </row>
    <row r="1372" spans="1:15" ht="16.5" customHeight="1" x14ac:dyDescent="0.2">
      <c r="A1372" s="40"/>
      <c r="B1372" s="45"/>
      <c r="C1372" s="41"/>
      <c r="D1372" s="41">
        <v>4</v>
      </c>
      <c r="E1372" s="90">
        <v>1.1399999999999999</v>
      </c>
      <c r="F1372" s="90">
        <v>3</v>
      </c>
      <c r="G1372" s="90">
        <v>2.2000000000000002</v>
      </c>
      <c r="H1372" s="89">
        <f t="shared" ref="H1372" si="339">PRODUCT(D1372:G1372)</f>
        <v>30.096</v>
      </c>
      <c r="I1372" s="90">
        <f>SUM(H1372:H1372)</f>
        <v>30.096</v>
      </c>
      <c r="J1372" s="90"/>
      <c r="K1372" s="163"/>
      <c r="L1372" s="163"/>
      <c r="M1372" s="158"/>
      <c r="O1372" s="82">
        <f t="shared" si="335"/>
        <v>0</v>
      </c>
    </row>
    <row r="1373" spans="1:15" ht="18" customHeight="1" x14ac:dyDescent="0.2">
      <c r="A1373" s="57"/>
      <c r="B1373" s="46"/>
      <c r="C1373" s="41"/>
      <c r="D1373" s="41"/>
      <c r="E1373" s="90"/>
      <c r="F1373" s="90"/>
      <c r="G1373" s="90"/>
      <c r="H1373" s="89"/>
      <c r="I1373" s="90"/>
      <c r="J1373" s="90"/>
      <c r="K1373" s="163"/>
      <c r="L1373" s="163"/>
      <c r="M1373" s="158"/>
      <c r="O1373" s="82">
        <f t="shared" si="335"/>
        <v>0</v>
      </c>
    </row>
    <row r="1374" spans="1:15" ht="18" customHeight="1" x14ac:dyDescent="0.2">
      <c r="A1374" s="57"/>
      <c r="B1374" s="46" t="s">
        <v>517</v>
      </c>
      <c r="C1374" s="41" t="s">
        <v>4</v>
      </c>
      <c r="D1374" s="41"/>
      <c r="E1374" s="90"/>
      <c r="F1374" s="90"/>
      <c r="G1374" s="90"/>
      <c r="H1374" s="89">
        <f t="shared" ref="H1374:H1377" si="340">PRODUCT(D1374:G1374)</f>
        <v>0</v>
      </c>
      <c r="I1374" s="90"/>
      <c r="J1374" s="90"/>
      <c r="K1374" s="163"/>
      <c r="L1374" s="163"/>
      <c r="M1374" s="158"/>
      <c r="O1374" s="82">
        <f t="shared" si="335"/>
        <v>0</v>
      </c>
    </row>
    <row r="1375" spans="1:15" s="5" customFormat="1" ht="16.149999999999999" customHeight="1" x14ac:dyDescent="0.2">
      <c r="A1375" s="30"/>
      <c r="B1375" s="98" t="s">
        <v>465</v>
      </c>
      <c r="C1375" s="32"/>
      <c r="D1375" s="32"/>
      <c r="E1375" s="89"/>
      <c r="F1375" s="89"/>
      <c r="G1375" s="89"/>
      <c r="H1375" s="89">
        <f t="shared" si="340"/>
        <v>0</v>
      </c>
      <c r="I1375" s="89"/>
      <c r="J1375" s="89"/>
      <c r="K1375" s="157"/>
      <c r="L1375" s="157"/>
      <c r="M1375" s="158"/>
      <c r="O1375" s="82">
        <f t="shared" si="335"/>
        <v>0</v>
      </c>
    </row>
    <row r="1376" spans="1:15" ht="16.5" customHeight="1" x14ac:dyDescent="0.2">
      <c r="A1376" s="40"/>
      <c r="B1376" s="45"/>
      <c r="C1376" s="41"/>
      <c r="D1376" s="41">
        <v>1</v>
      </c>
      <c r="E1376" s="90">
        <v>2</v>
      </c>
      <c r="F1376" s="90">
        <v>3</v>
      </c>
      <c r="G1376" s="90">
        <v>2.2000000000000002</v>
      </c>
      <c r="H1376" s="89">
        <f t="shared" si="340"/>
        <v>13.200000000000001</v>
      </c>
      <c r="I1376" s="80"/>
      <c r="J1376" s="90"/>
      <c r="K1376" s="163"/>
      <c r="L1376" s="163"/>
      <c r="M1376" s="158"/>
      <c r="O1376" s="82">
        <f t="shared" si="335"/>
        <v>0</v>
      </c>
    </row>
    <row r="1377" spans="1:15" ht="16.5" customHeight="1" x14ac:dyDescent="0.2">
      <c r="A1377" s="40"/>
      <c r="B1377" s="45"/>
      <c r="C1377" s="41"/>
      <c r="D1377" s="41">
        <v>1</v>
      </c>
      <c r="E1377" s="90">
        <v>1</v>
      </c>
      <c r="F1377" s="90">
        <v>3</v>
      </c>
      <c r="G1377" s="90">
        <v>2.2000000000000002</v>
      </c>
      <c r="H1377" s="89">
        <f t="shared" si="340"/>
        <v>6.6000000000000005</v>
      </c>
      <c r="I1377" s="90"/>
      <c r="J1377" s="90"/>
      <c r="K1377" s="163"/>
      <c r="L1377" s="163"/>
      <c r="M1377" s="158"/>
      <c r="O1377" s="82">
        <f t="shared" si="335"/>
        <v>0</v>
      </c>
    </row>
    <row r="1378" spans="1:15" ht="16.5" customHeight="1" x14ac:dyDescent="0.2">
      <c r="A1378" s="40"/>
      <c r="B1378" s="45"/>
      <c r="C1378" s="41"/>
      <c r="D1378" s="41"/>
      <c r="E1378" s="90"/>
      <c r="F1378" s="90"/>
      <c r="G1378" s="90"/>
      <c r="H1378" s="89"/>
      <c r="I1378" s="90">
        <f>SUM(H1376:H1377)</f>
        <v>19.8</v>
      </c>
      <c r="J1378" s="90"/>
      <c r="K1378" s="163"/>
      <c r="L1378" s="163"/>
      <c r="M1378" s="158"/>
      <c r="O1378" s="82">
        <f t="shared" si="335"/>
        <v>0</v>
      </c>
    </row>
    <row r="1379" spans="1:15" s="5" customFormat="1" ht="16.149999999999999" customHeight="1" x14ac:dyDescent="0.2">
      <c r="A1379" s="30"/>
      <c r="B1379" s="98" t="s">
        <v>466</v>
      </c>
      <c r="C1379" s="32"/>
      <c r="D1379" s="32"/>
      <c r="E1379" s="89"/>
      <c r="F1379" s="89"/>
      <c r="G1379" s="89"/>
      <c r="H1379" s="89">
        <f t="shared" ref="H1379:H1382" si="341">PRODUCT(D1379:G1379)</f>
        <v>0</v>
      </c>
      <c r="I1379" s="89"/>
      <c r="J1379" s="89"/>
      <c r="K1379" s="157"/>
      <c r="L1379" s="157"/>
      <c r="M1379" s="158"/>
      <c r="O1379" s="82">
        <f t="shared" si="335"/>
        <v>0</v>
      </c>
    </row>
    <row r="1380" spans="1:15" ht="16.5" customHeight="1" x14ac:dyDescent="0.2">
      <c r="A1380" s="40"/>
      <c r="B1380" s="45"/>
      <c r="C1380" s="41"/>
      <c r="D1380" s="41">
        <v>4</v>
      </c>
      <c r="E1380" s="90">
        <v>1.2</v>
      </c>
      <c r="F1380" s="90">
        <v>3</v>
      </c>
      <c r="G1380" s="90">
        <v>2.2000000000000002</v>
      </c>
      <c r="H1380" s="89">
        <f t="shared" si="341"/>
        <v>31.68</v>
      </c>
      <c r="I1380" s="90"/>
      <c r="J1380" s="90"/>
      <c r="K1380" s="163"/>
      <c r="L1380" s="163"/>
      <c r="M1380" s="158"/>
      <c r="O1380" s="82">
        <f t="shared" si="335"/>
        <v>0</v>
      </c>
    </row>
    <row r="1381" spans="1:15" ht="16.5" customHeight="1" x14ac:dyDescent="0.2">
      <c r="A1381" s="40"/>
      <c r="B1381" s="45"/>
      <c r="C1381" s="41"/>
      <c r="D1381" s="41"/>
      <c r="E1381" s="90"/>
      <c r="F1381" s="90"/>
      <c r="G1381" s="90"/>
      <c r="H1381" s="89">
        <f t="shared" si="341"/>
        <v>0</v>
      </c>
      <c r="I1381" s="90">
        <f>SUM(H1380:H1380)</f>
        <v>31.68</v>
      </c>
      <c r="J1381" s="90"/>
      <c r="K1381" s="163"/>
      <c r="L1381" s="163"/>
      <c r="M1381" s="158"/>
      <c r="O1381" s="82">
        <f t="shared" si="335"/>
        <v>0</v>
      </c>
    </row>
    <row r="1382" spans="1:15" ht="18" customHeight="1" x14ac:dyDescent="0.2">
      <c r="A1382" s="57"/>
      <c r="B1382" s="46" t="s">
        <v>93</v>
      </c>
      <c r="C1382" s="41" t="s">
        <v>4</v>
      </c>
      <c r="D1382" s="41"/>
      <c r="E1382" s="90"/>
      <c r="F1382" s="90"/>
      <c r="G1382" s="90"/>
      <c r="H1382" s="89">
        <f t="shared" si="341"/>
        <v>0</v>
      </c>
      <c r="I1382" s="90"/>
      <c r="J1382" s="90"/>
      <c r="K1382" s="163"/>
      <c r="L1382" s="163"/>
      <c r="M1382" s="158"/>
      <c r="O1382" s="82">
        <f t="shared" si="335"/>
        <v>0</v>
      </c>
    </row>
    <row r="1383" spans="1:15" s="5" customFormat="1" ht="16.149999999999999" customHeight="1" x14ac:dyDescent="0.2">
      <c r="A1383" s="30"/>
      <c r="B1383" s="98" t="s">
        <v>464</v>
      </c>
      <c r="C1383" s="32"/>
      <c r="D1383" s="32"/>
      <c r="E1383" s="89"/>
      <c r="F1383" s="89"/>
      <c r="G1383" s="89"/>
      <c r="H1383" s="89"/>
      <c r="I1383" s="89"/>
      <c r="K1383" s="157"/>
      <c r="L1383" s="157"/>
      <c r="M1383" s="158"/>
      <c r="O1383" s="82">
        <f t="shared" si="335"/>
        <v>0</v>
      </c>
    </row>
    <row r="1384" spans="1:15" ht="16.5" customHeight="1" x14ac:dyDescent="0.2">
      <c r="A1384" s="40"/>
      <c r="B1384" s="45"/>
      <c r="C1384" s="41"/>
      <c r="D1384" s="41">
        <f>12*2</f>
        <v>24</v>
      </c>
      <c r="E1384" s="90">
        <v>0.9</v>
      </c>
      <c r="F1384" s="90">
        <v>3</v>
      </c>
      <c r="G1384" s="90">
        <v>1.2</v>
      </c>
      <c r="H1384" s="89">
        <f t="shared" ref="H1384:H1387" si="342">PRODUCT(D1384:G1384)</f>
        <v>77.760000000000005</v>
      </c>
      <c r="I1384" s="90">
        <f>SUM(H1384:H1384)</f>
        <v>77.760000000000005</v>
      </c>
      <c r="J1384" s="90"/>
      <c r="K1384" s="163"/>
      <c r="L1384" s="163"/>
      <c r="M1384" s="158"/>
      <c r="O1384" s="82">
        <f t="shared" si="335"/>
        <v>0</v>
      </c>
    </row>
    <row r="1385" spans="1:15" s="5" customFormat="1" ht="16.149999999999999" customHeight="1" x14ac:dyDescent="0.2">
      <c r="A1385" s="30"/>
      <c r="B1385" s="98" t="s">
        <v>465</v>
      </c>
      <c r="C1385" s="32"/>
      <c r="D1385" s="32"/>
      <c r="E1385" s="89"/>
      <c r="F1385" s="89"/>
      <c r="G1385" s="89"/>
      <c r="H1385" s="89">
        <f t="shared" si="342"/>
        <v>0</v>
      </c>
      <c r="I1385" s="89"/>
      <c r="J1385" s="89"/>
      <c r="K1385" s="157"/>
      <c r="L1385" s="157"/>
      <c r="M1385" s="158"/>
      <c r="O1385" s="82">
        <f t="shared" si="335"/>
        <v>0</v>
      </c>
    </row>
    <row r="1386" spans="1:15" ht="16.5" customHeight="1" x14ac:dyDescent="0.2">
      <c r="A1386" s="40"/>
      <c r="B1386" s="45"/>
      <c r="C1386" s="41"/>
      <c r="D1386" s="41">
        <v>10</v>
      </c>
      <c r="E1386" s="90">
        <v>0.9</v>
      </c>
      <c r="F1386" s="90">
        <v>3</v>
      </c>
      <c r="G1386" s="90">
        <v>1.2</v>
      </c>
      <c r="H1386" s="89">
        <f t="shared" si="342"/>
        <v>32.4</v>
      </c>
      <c r="I1386" s="80"/>
      <c r="J1386" s="90"/>
      <c r="K1386" s="163"/>
      <c r="L1386" s="163"/>
      <c r="M1386" s="158"/>
      <c r="O1386" s="82">
        <f t="shared" si="335"/>
        <v>0</v>
      </c>
    </row>
    <row r="1387" spans="1:15" ht="16.5" customHeight="1" x14ac:dyDescent="0.2">
      <c r="A1387" s="40"/>
      <c r="B1387" s="45"/>
      <c r="C1387" s="41"/>
      <c r="D1387" s="41">
        <v>2</v>
      </c>
      <c r="E1387" s="90">
        <v>0.9</v>
      </c>
      <c r="F1387" s="90">
        <v>3</v>
      </c>
      <c r="G1387" s="90">
        <v>0.5</v>
      </c>
      <c r="H1387" s="89">
        <f t="shared" si="342"/>
        <v>2.7</v>
      </c>
      <c r="I1387" s="90"/>
      <c r="J1387" s="90"/>
      <c r="K1387" s="163"/>
      <c r="L1387" s="163"/>
      <c r="M1387" s="158"/>
      <c r="O1387" s="82">
        <f t="shared" si="335"/>
        <v>0</v>
      </c>
    </row>
    <row r="1388" spans="1:15" ht="16.5" customHeight="1" x14ac:dyDescent="0.2">
      <c r="A1388" s="40"/>
      <c r="B1388" s="45"/>
      <c r="C1388" s="41"/>
      <c r="D1388" s="41"/>
      <c r="E1388" s="90"/>
      <c r="F1388" s="90"/>
      <c r="G1388" s="90"/>
      <c r="H1388" s="89"/>
      <c r="I1388" s="90">
        <f>SUM(H1386:H1387)</f>
        <v>35.1</v>
      </c>
      <c r="J1388" s="90"/>
      <c r="K1388" s="163"/>
      <c r="L1388" s="163"/>
      <c r="M1388" s="158"/>
      <c r="O1388" s="82">
        <f t="shared" si="335"/>
        <v>0</v>
      </c>
    </row>
    <row r="1389" spans="1:15" s="5" customFormat="1" ht="16.149999999999999" customHeight="1" x14ac:dyDescent="0.2">
      <c r="A1389" s="30"/>
      <c r="B1389" s="98" t="s">
        <v>466</v>
      </c>
      <c r="C1389" s="32"/>
      <c r="D1389" s="32"/>
      <c r="E1389" s="89"/>
      <c r="F1389" s="89"/>
      <c r="G1389" s="89"/>
      <c r="H1389" s="89">
        <f t="shared" ref="H1389:H1393" si="343">PRODUCT(D1389:G1389)</f>
        <v>0</v>
      </c>
      <c r="I1389" s="89"/>
      <c r="J1389" s="89"/>
      <c r="K1389" s="157"/>
      <c r="L1389" s="157"/>
      <c r="M1389" s="158"/>
      <c r="O1389" s="82">
        <f t="shared" si="335"/>
        <v>0</v>
      </c>
    </row>
    <row r="1390" spans="1:15" ht="16.5" customHeight="1" x14ac:dyDescent="0.2">
      <c r="A1390" s="40"/>
      <c r="B1390" s="45"/>
      <c r="C1390" s="41"/>
      <c r="D1390" s="41">
        <v>12</v>
      </c>
      <c r="E1390" s="90">
        <v>0.9</v>
      </c>
      <c r="F1390" s="90">
        <v>3</v>
      </c>
      <c r="G1390" s="90">
        <v>0.5</v>
      </c>
      <c r="H1390" s="89">
        <f t="shared" si="343"/>
        <v>16.200000000000003</v>
      </c>
      <c r="I1390" s="90"/>
      <c r="J1390" s="90"/>
      <c r="K1390" s="163"/>
      <c r="L1390" s="163"/>
      <c r="M1390" s="158"/>
      <c r="O1390" s="82">
        <f t="shared" si="335"/>
        <v>0</v>
      </c>
    </row>
    <row r="1391" spans="1:15" ht="16.5" customHeight="1" x14ac:dyDescent="0.2">
      <c r="A1391" s="40"/>
      <c r="B1391" s="45"/>
      <c r="C1391" s="41"/>
      <c r="D1391" s="41"/>
      <c r="E1391" s="90"/>
      <c r="F1391" s="90"/>
      <c r="G1391" s="90"/>
      <c r="H1391" s="89">
        <f t="shared" si="343"/>
        <v>0</v>
      </c>
      <c r="I1391" s="90">
        <f>SUM(H1390:H1390)</f>
        <v>16.200000000000003</v>
      </c>
      <c r="J1391" s="90"/>
      <c r="K1391" s="163"/>
      <c r="L1391" s="163"/>
      <c r="M1391" s="158"/>
      <c r="O1391" s="82">
        <f t="shared" si="335"/>
        <v>0</v>
      </c>
    </row>
    <row r="1392" spans="1:15" s="5" customFormat="1" ht="16.149999999999999" customHeight="1" x14ac:dyDescent="0.2">
      <c r="A1392" s="30"/>
      <c r="B1392" s="98" t="s">
        <v>467</v>
      </c>
      <c r="C1392" s="32"/>
      <c r="D1392" s="32"/>
      <c r="E1392" s="89"/>
      <c r="F1392" s="89"/>
      <c r="G1392" s="89"/>
      <c r="H1392" s="89">
        <f t="shared" si="343"/>
        <v>0</v>
      </c>
      <c r="I1392" s="90">
        <f t="shared" ref="I1392:I1393" si="344">SUM(H1391:H1391)</f>
        <v>0</v>
      </c>
      <c r="J1392" s="89"/>
      <c r="K1392" s="157"/>
      <c r="L1392" s="157"/>
      <c r="M1392" s="158"/>
      <c r="O1392" s="82">
        <f t="shared" si="335"/>
        <v>0</v>
      </c>
    </row>
    <row r="1393" spans="1:15" ht="15.95" customHeight="1" x14ac:dyDescent="0.2">
      <c r="A1393" s="40"/>
      <c r="B1393" s="45"/>
      <c r="C1393" s="41"/>
      <c r="D1393" s="41">
        <v>2</v>
      </c>
      <c r="E1393" s="90">
        <v>0.9</v>
      </c>
      <c r="F1393" s="90">
        <v>3</v>
      </c>
      <c r="G1393" s="90">
        <v>1.2</v>
      </c>
      <c r="H1393" s="89">
        <f t="shared" si="343"/>
        <v>6.48</v>
      </c>
      <c r="I1393" s="90">
        <f t="shared" si="344"/>
        <v>0</v>
      </c>
      <c r="J1393" s="90"/>
      <c r="K1393" s="163"/>
      <c r="L1393" s="163"/>
      <c r="M1393" s="158"/>
      <c r="N1393" s="43"/>
      <c r="O1393" s="82">
        <f t="shared" si="335"/>
        <v>0</v>
      </c>
    </row>
    <row r="1394" spans="1:15" ht="18" customHeight="1" x14ac:dyDescent="0.2">
      <c r="A1394" s="56"/>
      <c r="B1394" s="52"/>
      <c r="C1394" s="41"/>
      <c r="D1394" s="41"/>
      <c r="E1394" s="90"/>
      <c r="F1394" s="90"/>
      <c r="G1394" s="90"/>
      <c r="H1394" s="90"/>
      <c r="I1394" s="90">
        <f>SUM(H1393:H1394)</f>
        <v>6.48</v>
      </c>
      <c r="J1394" s="90"/>
      <c r="K1394" s="163"/>
      <c r="L1394" s="163"/>
      <c r="M1394" s="158"/>
      <c r="O1394" s="82">
        <f t="shared" si="335"/>
        <v>0</v>
      </c>
    </row>
    <row r="1395" spans="1:15" ht="16.5" customHeight="1" x14ac:dyDescent="0.2">
      <c r="A1395" s="40"/>
      <c r="B1395" s="119" t="s">
        <v>506</v>
      </c>
      <c r="C1395" s="41"/>
      <c r="D1395" s="41">
        <v>1</v>
      </c>
      <c r="E1395" s="90">
        <v>50</v>
      </c>
      <c r="F1395" s="90"/>
      <c r="G1395" s="90"/>
      <c r="H1395" s="89">
        <f t="shared" ref="H1395" si="345">PRODUCT(D1395:G1395)</f>
        <v>50</v>
      </c>
      <c r="I1395" s="90"/>
      <c r="J1395" s="90"/>
      <c r="K1395" s="163"/>
      <c r="L1395" s="163"/>
      <c r="M1395" s="158"/>
      <c r="O1395" s="82">
        <f t="shared" si="335"/>
        <v>0</v>
      </c>
    </row>
    <row r="1396" spans="1:15" ht="18" customHeight="1" x14ac:dyDescent="0.2">
      <c r="A1396" s="66"/>
      <c r="B1396" s="46"/>
      <c r="C1396" s="41"/>
      <c r="D1396" s="41"/>
      <c r="E1396" s="90"/>
      <c r="F1396" s="90"/>
      <c r="G1396" s="90"/>
      <c r="H1396" s="90"/>
      <c r="I1396" s="90">
        <f>SUM(H1395)</f>
        <v>50</v>
      </c>
      <c r="J1396" s="90"/>
      <c r="K1396" s="163"/>
      <c r="L1396" s="163"/>
      <c r="M1396" s="158"/>
      <c r="N1396" s="43"/>
      <c r="O1396" s="82">
        <f t="shared" si="335"/>
        <v>0</v>
      </c>
    </row>
    <row r="1397" spans="1:15" ht="18" customHeight="1" x14ac:dyDescent="0.2">
      <c r="A1397" s="66"/>
      <c r="B1397" s="46"/>
      <c r="C1397" s="41"/>
      <c r="D1397" s="41"/>
      <c r="E1397" s="90"/>
      <c r="F1397" s="90"/>
      <c r="G1397" s="90"/>
      <c r="H1397" s="90"/>
      <c r="I1397" s="90"/>
      <c r="J1397" s="90"/>
      <c r="K1397" s="163"/>
      <c r="L1397" s="163"/>
      <c r="M1397" s="158"/>
      <c r="N1397" s="43"/>
      <c r="O1397" s="82">
        <f t="shared" si="335"/>
        <v>0</v>
      </c>
    </row>
    <row r="1398" spans="1:15" ht="18" customHeight="1" x14ac:dyDescent="0.2">
      <c r="A1398" s="250" t="s">
        <v>114</v>
      </c>
      <c r="B1398" s="251"/>
      <c r="C1398" s="251"/>
      <c r="D1398" s="251"/>
      <c r="E1398" s="251"/>
      <c r="F1398" s="251"/>
      <c r="G1398" s="251"/>
      <c r="H1398" s="251"/>
      <c r="I1398" s="251"/>
      <c r="J1398" s="251"/>
      <c r="K1398" s="251"/>
      <c r="L1398" s="252"/>
      <c r="M1398" s="159">
        <f>SUM(M1192:M1397)</f>
        <v>148400</v>
      </c>
      <c r="O1398" s="82">
        <f t="shared" si="335"/>
        <v>0</v>
      </c>
    </row>
    <row r="1399" spans="1:15" ht="18" customHeight="1" x14ac:dyDescent="0.2">
      <c r="A1399" s="69"/>
      <c r="B1399" s="70" t="s">
        <v>252</v>
      </c>
      <c r="C1399" s="71"/>
      <c r="D1399" s="71"/>
      <c r="E1399" s="93"/>
      <c r="F1399" s="93"/>
      <c r="G1399" s="93"/>
      <c r="H1399" s="93"/>
      <c r="I1399" s="93"/>
      <c r="J1399" s="93"/>
      <c r="K1399" s="167"/>
      <c r="L1399" s="167"/>
      <c r="M1399" s="158"/>
      <c r="O1399" s="82">
        <f t="shared" si="335"/>
        <v>0</v>
      </c>
    </row>
    <row r="1400" spans="1:15" ht="18" customHeight="1" x14ac:dyDescent="0.2">
      <c r="A1400" s="57" t="s">
        <v>29</v>
      </c>
      <c r="B1400" s="45" t="s">
        <v>297</v>
      </c>
      <c r="C1400" s="32" t="s">
        <v>4</v>
      </c>
      <c r="D1400" s="41">
        <v>1</v>
      </c>
      <c r="E1400" s="90">
        <v>24</v>
      </c>
      <c r="F1400" s="90">
        <v>44</v>
      </c>
      <c r="G1400" s="90"/>
      <c r="H1400" s="89">
        <f t="shared" ref="H1400" si="346">PRODUCT(D1400:G1400)</f>
        <v>1056</v>
      </c>
      <c r="I1400" s="90">
        <f>H1400</f>
        <v>1056</v>
      </c>
      <c r="J1400" s="90">
        <f>I1400</f>
        <v>1056</v>
      </c>
      <c r="K1400" s="163">
        <v>1056</v>
      </c>
      <c r="L1400" s="163">
        <v>130</v>
      </c>
      <c r="M1400" s="158">
        <f t="shared" ref="M1400" si="347">+L1400*K1400</f>
        <v>137280</v>
      </c>
      <c r="N1400" s="43"/>
      <c r="O1400" s="82">
        <f t="shared" si="335"/>
        <v>0</v>
      </c>
    </row>
    <row r="1401" spans="1:15" ht="18" customHeight="1" x14ac:dyDescent="0.2">
      <c r="A1401" s="250" t="s">
        <v>115</v>
      </c>
      <c r="B1401" s="251"/>
      <c r="C1401" s="251"/>
      <c r="D1401" s="251"/>
      <c r="E1401" s="251"/>
      <c r="F1401" s="251"/>
      <c r="G1401" s="251"/>
      <c r="H1401" s="251"/>
      <c r="I1401" s="251"/>
      <c r="J1401" s="251"/>
      <c r="K1401" s="251"/>
      <c r="L1401" s="252"/>
      <c r="M1401" s="159">
        <f>SUM(M1399:M1400)</f>
        <v>137280</v>
      </c>
      <c r="O1401" s="82">
        <f t="shared" si="335"/>
        <v>0</v>
      </c>
    </row>
    <row r="1402" spans="1:15" ht="18" customHeight="1" x14ac:dyDescent="0.2">
      <c r="A1402" s="40"/>
      <c r="B1402" s="62" t="s">
        <v>253</v>
      </c>
      <c r="C1402" s="41"/>
      <c r="D1402" s="41"/>
      <c r="E1402" s="90"/>
      <c r="F1402" s="90"/>
      <c r="G1402" s="90"/>
      <c r="H1402" s="90"/>
      <c r="I1402" s="90"/>
      <c r="J1402" s="90"/>
      <c r="K1402" s="163"/>
      <c r="L1402" s="168"/>
      <c r="M1402" s="158"/>
      <c r="O1402" s="82">
        <f t="shared" si="335"/>
        <v>0</v>
      </c>
    </row>
    <row r="1403" spans="1:15" s="5" customFormat="1" ht="17.100000000000001" customHeight="1" x14ac:dyDescent="0.2">
      <c r="A1403" s="56" t="s">
        <v>61</v>
      </c>
      <c r="B1403" s="46" t="s">
        <v>132</v>
      </c>
      <c r="C1403" s="41" t="s">
        <v>5</v>
      </c>
      <c r="D1403" s="41"/>
      <c r="E1403" s="90"/>
      <c r="F1403" s="90"/>
      <c r="G1403" s="90"/>
      <c r="H1403" s="90"/>
      <c r="I1403" s="90"/>
      <c r="J1403" s="90"/>
      <c r="K1403" s="157">
        <v>300</v>
      </c>
      <c r="L1403" s="157">
        <v>25</v>
      </c>
      <c r="M1403" s="158">
        <f>+L1403*K1403</f>
        <v>7500</v>
      </c>
      <c r="N1403" s="34"/>
      <c r="O1403" s="82">
        <f t="shared" si="335"/>
        <v>300</v>
      </c>
    </row>
    <row r="1404" spans="1:15" ht="18" customHeight="1" x14ac:dyDescent="0.2">
      <c r="A1404" s="56" t="s">
        <v>65</v>
      </c>
      <c r="B1404" s="46" t="s">
        <v>131</v>
      </c>
      <c r="C1404" s="32" t="s">
        <v>76</v>
      </c>
      <c r="D1404" s="41"/>
      <c r="E1404" s="90"/>
      <c r="F1404" s="90"/>
      <c r="G1404" s="90"/>
      <c r="H1404" s="90"/>
      <c r="I1404" s="90"/>
      <c r="J1404" s="90"/>
      <c r="K1404" s="163">
        <v>120</v>
      </c>
      <c r="L1404" s="163">
        <v>30</v>
      </c>
      <c r="M1404" s="158">
        <f>+L1404*K1404</f>
        <v>3600</v>
      </c>
      <c r="N1404" s="43"/>
      <c r="O1404" s="82">
        <f t="shared" si="335"/>
        <v>120</v>
      </c>
    </row>
    <row r="1405" spans="1:15" ht="18" customHeight="1" x14ac:dyDescent="0.2">
      <c r="A1405" s="56" t="s">
        <v>66</v>
      </c>
      <c r="B1405" s="46" t="s">
        <v>129</v>
      </c>
      <c r="C1405" s="32" t="s">
        <v>76</v>
      </c>
      <c r="D1405" s="41"/>
      <c r="E1405" s="90"/>
      <c r="F1405" s="90"/>
      <c r="G1405" s="90"/>
      <c r="H1405" s="90"/>
      <c r="I1405" s="90"/>
      <c r="J1405" s="90"/>
      <c r="K1405" s="163">
        <v>20</v>
      </c>
      <c r="L1405" s="163">
        <v>700</v>
      </c>
      <c r="M1405" s="158">
        <f>+L1405*K1405</f>
        <v>14000</v>
      </c>
      <c r="N1405" s="43"/>
      <c r="O1405" s="82">
        <f t="shared" si="335"/>
        <v>20</v>
      </c>
    </row>
    <row r="1406" spans="1:15" ht="18" customHeight="1" x14ac:dyDescent="0.2">
      <c r="A1406" s="56" t="s">
        <v>67</v>
      </c>
      <c r="B1406" s="46" t="s">
        <v>130</v>
      </c>
      <c r="C1406" s="32" t="s">
        <v>76</v>
      </c>
      <c r="D1406" s="41"/>
      <c r="E1406" s="90"/>
      <c r="F1406" s="90"/>
      <c r="G1406" s="90"/>
      <c r="H1406" s="90"/>
      <c r="I1406" s="90"/>
      <c r="J1406" s="90"/>
      <c r="K1406" s="163">
        <v>20</v>
      </c>
      <c r="L1406" s="163">
        <v>800</v>
      </c>
      <c r="M1406" s="158">
        <f>+L1406*K1406</f>
        <v>16000</v>
      </c>
      <c r="N1406" s="43"/>
      <c r="O1406" s="82">
        <f t="shared" si="335"/>
        <v>20</v>
      </c>
    </row>
    <row r="1407" spans="1:15" ht="18" customHeight="1" x14ac:dyDescent="0.2">
      <c r="A1407" s="250" t="s">
        <v>116</v>
      </c>
      <c r="B1407" s="251"/>
      <c r="C1407" s="251"/>
      <c r="D1407" s="251"/>
      <c r="E1407" s="251"/>
      <c r="F1407" s="251"/>
      <c r="G1407" s="251"/>
      <c r="H1407" s="251"/>
      <c r="I1407" s="251"/>
      <c r="J1407" s="251"/>
      <c r="K1407" s="251"/>
      <c r="L1407" s="252"/>
      <c r="M1407" s="159">
        <f>SUM(M1402:M1406)</f>
        <v>41100</v>
      </c>
      <c r="O1407" s="82">
        <f t="shared" si="335"/>
        <v>0</v>
      </c>
    </row>
    <row r="1408" spans="1:15" ht="18" customHeight="1" x14ac:dyDescent="0.2">
      <c r="A1408" s="2"/>
      <c r="B1408" s="3"/>
      <c r="C1408" s="3"/>
      <c r="D1408" s="3"/>
      <c r="E1408" s="94"/>
      <c r="F1408" s="94"/>
      <c r="G1408" s="94"/>
      <c r="H1408" s="94"/>
      <c r="I1408" s="94"/>
      <c r="J1408" s="94"/>
      <c r="M1408" s="170"/>
      <c r="O1408" s="82">
        <f t="shared" si="335"/>
        <v>0</v>
      </c>
    </row>
    <row r="1409" spans="1:15" ht="18" customHeight="1" x14ac:dyDescent="0.2">
      <c r="A1409" s="247" t="s">
        <v>117</v>
      </c>
      <c r="B1409" s="247"/>
      <c r="C1409" s="247"/>
      <c r="D1409" s="85"/>
      <c r="E1409" s="95"/>
      <c r="F1409" s="95"/>
      <c r="G1409" s="95"/>
      <c r="H1409" s="95"/>
      <c r="I1409" s="95"/>
      <c r="J1409" s="95"/>
      <c r="K1409" s="264">
        <f>M1407+M1401+M1398+M1191+M1133+M1010+M894+M691+M638</f>
        <v>2735315</v>
      </c>
      <c r="L1409" s="264"/>
      <c r="M1409" s="264"/>
      <c r="O1409" s="82">
        <f t="shared" si="335"/>
        <v>2735315</v>
      </c>
    </row>
    <row r="1410" spans="1:15" ht="18" customHeight="1" x14ac:dyDescent="0.2">
      <c r="A1410" s="247" t="s">
        <v>118</v>
      </c>
      <c r="B1410" s="247"/>
      <c r="C1410" s="247"/>
      <c r="D1410" s="85"/>
      <c r="E1410" s="95"/>
      <c r="F1410" s="95"/>
      <c r="G1410" s="95"/>
      <c r="H1410" s="95"/>
      <c r="I1410" s="95"/>
      <c r="J1410" s="95"/>
      <c r="K1410" s="264">
        <f>K1409*0.2</f>
        <v>547063</v>
      </c>
      <c r="L1410" s="264"/>
      <c r="M1410" s="264"/>
      <c r="O1410" s="82">
        <f t="shared" si="335"/>
        <v>547063</v>
      </c>
    </row>
    <row r="1411" spans="1:15" ht="18" customHeight="1" x14ac:dyDescent="0.2">
      <c r="A1411" s="247" t="s">
        <v>119</v>
      </c>
      <c r="B1411" s="247"/>
      <c r="C1411" s="247"/>
      <c r="D1411" s="85"/>
      <c r="E1411" s="95"/>
      <c r="F1411" s="95"/>
      <c r="G1411" s="95"/>
      <c r="H1411" s="95"/>
      <c r="I1411" s="95"/>
      <c r="J1411" s="95"/>
      <c r="K1411" s="264">
        <f>K1410+K1409</f>
        <v>3282378</v>
      </c>
      <c r="L1411" s="264"/>
      <c r="M1411" s="264"/>
      <c r="O1411" s="82">
        <f t="shared" si="335"/>
        <v>3282378</v>
      </c>
    </row>
    <row r="1412" spans="1:15" ht="18" customHeight="1" x14ac:dyDescent="0.2">
      <c r="O1412" s="82">
        <f t="shared" si="335"/>
        <v>0</v>
      </c>
    </row>
    <row r="1413" spans="1:15" ht="18" customHeight="1" x14ac:dyDescent="0.2">
      <c r="A1413" s="16"/>
      <c r="B1413" s="262" t="s">
        <v>426</v>
      </c>
      <c r="C1413" s="262"/>
      <c r="D1413" s="262"/>
      <c r="E1413" s="262"/>
      <c r="F1413" s="262"/>
      <c r="G1413" s="262"/>
      <c r="H1413" s="262"/>
      <c r="I1413" s="262"/>
      <c r="J1413" s="262"/>
      <c r="K1413" s="262"/>
      <c r="L1413" s="265">
        <f>K1409</f>
        <v>2735315</v>
      </c>
      <c r="M1413" s="265"/>
      <c r="O1413" s="82">
        <f t="shared" si="335"/>
        <v>0</v>
      </c>
    </row>
    <row r="1414" spans="1:15" ht="18" customHeight="1" x14ac:dyDescent="0.2">
      <c r="B1414" s="262" t="s">
        <v>430</v>
      </c>
      <c r="C1414" s="262"/>
      <c r="D1414" s="262"/>
      <c r="E1414" s="262"/>
      <c r="F1414" s="262"/>
      <c r="G1414" s="262"/>
      <c r="H1414" s="262"/>
      <c r="I1414" s="262"/>
      <c r="J1414" s="262"/>
      <c r="K1414" s="262"/>
      <c r="L1414" s="263">
        <f>+L1413*20%</f>
        <v>547063</v>
      </c>
      <c r="M1414" s="263"/>
      <c r="O1414" s="82">
        <f t="shared" ref="O1414:O1477" si="348">K1414-J1414</f>
        <v>0</v>
      </c>
    </row>
    <row r="1415" spans="1:15" ht="18" customHeight="1" x14ac:dyDescent="0.2">
      <c r="B1415" s="262" t="s">
        <v>431</v>
      </c>
      <c r="C1415" s="262"/>
      <c r="D1415" s="262"/>
      <c r="E1415" s="262"/>
      <c r="F1415" s="262"/>
      <c r="G1415" s="262"/>
      <c r="H1415" s="262"/>
      <c r="I1415" s="262"/>
      <c r="J1415" s="262"/>
      <c r="K1415" s="262"/>
      <c r="L1415" s="263">
        <f>+L1414+L1413</f>
        <v>3282378</v>
      </c>
      <c r="M1415" s="263"/>
      <c r="N1415" s="8"/>
      <c r="O1415" s="82">
        <f t="shared" si="348"/>
        <v>0</v>
      </c>
    </row>
    <row r="1416" spans="1:15" s="1" customFormat="1" ht="37.15" customHeight="1" x14ac:dyDescent="0.35">
      <c r="A1416" s="244"/>
      <c r="B1416" s="244"/>
      <c r="C1416" s="244"/>
      <c r="D1416" s="244"/>
      <c r="E1416" s="244"/>
      <c r="F1416" s="244"/>
      <c r="G1416" s="244"/>
      <c r="H1416" s="244"/>
      <c r="I1416" s="244"/>
      <c r="J1416" s="244"/>
      <c r="K1416" s="244"/>
      <c r="L1416" s="244"/>
      <c r="M1416" s="244"/>
      <c r="N1416" s="9"/>
      <c r="O1416" s="82">
        <f t="shared" si="348"/>
        <v>0</v>
      </c>
    </row>
    <row r="1417" spans="1:15" ht="18" customHeight="1" x14ac:dyDescent="0.2">
      <c r="A1417" s="5"/>
      <c r="C1417" s="5"/>
      <c r="D1417" s="5"/>
      <c r="E1417" s="97"/>
      <c r="F1417" s="97"/>
      <c r="G1417" s="97"/>
      <c r="H1417" s="97"/>
      <c r="I1417" s="97"/>
      <c r="J1417" s="97"/>
      <c r="O1417" s="82">
        <f t="shared" si="348"/>
        <v>0</v>
      </c>
    </row>
    <row r="1418" spans="1:15" ht="18" customHeight="1" x14ac:dyDescent="0.2">
      <c r="A1418" s="5"/>
      <c r="C1418" s="5"/>
      <c r="D1418" s="5"/>
      <c r="E1418" s="97"/>
      <c r="F1418" s="97"/>
      <c r="G1418" s="97"/>
      <c r="H1418" s="97"/>
      <c r="I1418" s="97"/>
      <c r="J1418" s="97"/>
      <c r="O1418" s="82">
        <f t="shared" si="348"/>
        <v>0</v>
      </c>
    </row>
    <row r="1419" spans="1:15" ht="14.25" x14ac:dyDescent="0.2">
      <c r="O1419" s="82">
        <f t="shared" si="348"/>
        <v>0</v>
      </c>
    </row>
    <row r="1420" spans="1:15" ht="14.25" x14ac:dyDescent="0.2">
      <c r="O1420" s="82">
        <f t="shared" si="348"/>
        <v>0</v>
      </c>
    </row>
    <row r="1421" spans="1:15" ht="14.25" x14ac:dyDescent="0.2">
      <c r="O1421" s="82">
        <f t="shared" si="348"/>
        <v>0</v>
      </c>
    </row>
    <row r="1422" spans="1:15" ht="14.25" x14ac:dyDescent="0.2">
      <c r="O1422" s="82">
        <f t="shared" si="348"/>
        <v>0</v>
      </c>
    </row>
    <row r="1423" spans="1:15" ht="14.25" x14ac:dyDescent="0.2">
      <c r="O1423" s="82">
        <f t="shared" si="348"/>
        <v>0</v>
      </c>
    </row>
    <row r="1424" spans="1:15" ht="14.25" x14ac:dyDescent="0.2">
      <c r="O1424" s="82">
        <f t="shared" si="348"/>
        <v>0</v>
      </c>
    </row>
    <row r="1425" spans="15:15" ht="14.25" x14ac:dyDescent="0.2">
      <c r="O1425" s="82">
        <f t="shared" si="348"/>
        <v>0</v>
      </c>
    </row>
    <row r="1426" spans="15:15" ht="14.25" x14ac:dyDescent="0.2">
      <c r="O1426" s="82">
        <f t="shared" si="348"/>
        <v>0</v>
      </c>
    </row>
    <row r="1427" spans="15:15" ht="14.25" x14ac:dyDescent="0.2">
      <c r="O1427" s="82">
        <f t="shared" si="348"/>
        <v>0</v>
      </c>
    </row>
    <row r="1428" spans="15:15" ht="14.25" x14ac:dyDescent="0.2">
      <c r="O1428" s="82">
        <f t="shared" si="348"/>
        <v>0</v>
      </c>
    </row>
    <row r="1429" spans="15:15" ht="14.25" x14ac:dyDescent="0.2">
      <c r="O1429" s="82">
        <f t="shared" si="348"/>
        <v>0</v>
      </c>
    </row>
    <row r="1430" spans="15:15" ht="14.25" x14ac:dyDescent="0.2">
      <c r="O1430" s="82">
        <f t="shared" si="348"/>
        <v>0</v>
      </c>
    </row>
    <row r="1431" spans="15:15" ht="14.25" x14ac:dyDescent="0.2">
      <c r="O1431" s="82">
        <f t="shared" si="348"/>
        <v>0</v>
      </c>
    </row>
    <row r="1432" spans="15:15" ht="14.25" x14ac:dyDescent="0.2">
      <c r="O1432" s="82">
        <f t="shared" si="348"/>
        <v>0</v>
      </c>
    </row>
    <row r="1433" spans="15:15" ht="14.25" x14ac:dyDescent="0.2">
      <c r="O1433" s="82">
        <f t="shared" si="348"/>
        <v>0</v>
      </c>
    </row>
    <row r="1434" spans="15:15" ht="14.25" x14ac:dyDescent="0.2">
      <c r="O1434" s="82">
        <f t="shared" si="348"/>
        <v>0</v>
      </c>
    </row>
    <row r="1435" spans="15:15" ht="14.25" x14ac:dyDescent="0.2">
      <c r="O1435" s="82">
        <f t="shared" si="348"/>
        <v>0</v>
      </c>
    </row>
    <row r="1436" spans="15:15" ht="14.25" x14ac:dyDescent="0.2">
      <c r="O1436" s="82">
        <f t="shared" si="348"/>
        <v>0</v>
      </c>
    </row>
    <row r="1437" spans="15:15" ht="14.25" x14ac:dyDescent="0.2">
      <c r="O1437" s="82">
        <f t="shared" si="348"/>
        <v>0</v>
      </c>
    </row>
    <row r="1438" spans="15:15" ht="14.25" x14ac:dyDescent="0.2">
      <c r="O1438" s="82">
        <f t="shared" si="348"/>
        <v>0</v>
      </c>
    </row>
    <row r="1439" spans="15:15" ht="14.25" x14ac:dyDescent="0.2">
      <c r="O1439" s="82">
        <f t="shared" si="348"/>
        <v>0</v>
      </c>
    </row>
    <row r="1440" spans="15:15" ht="14.25" x14ac:dyDescent="0.2">
      <c r="O1440" s="82">
        <f t="shared" si="348"/>
        <v>0</v>
      </c>
    </row>
    <row r="1441" spans="15:15" ht="14.25" x14ac:dyDescent="0.2">
      <c r="O1441" s="82">
        <f t="shared" si="348"/>
        <v>0</v>
      </c>
    </row>
    <row r="1442" spans="15:15" ht="14.25" x14ac:dyDescent="0.2">
      <c r="O1442" s="82">
        <f t="shared" si="348"/>
        <v>0</v>
      </c>
    </row>
    <row r="1443" spans="15:15" ht="14.25" x14ac:dyDescent="0.2">
      <c r="O1443" s="82">
        <f t="shared" si="348"/>
        <v>0</v>
      </c>
    </row>
    <row r="1444" spans="15:15" ht="14.25" x14ac:dyDescent="0.2">
      <c r="O1444" s="82">
        <f t="shared" si="348"/>
        <v>0</v>
      </c>
    </row>
    <row r="1445" spans="15:15" ht="14.25" x14ac:dyDescent="0.2">
      <c r="O1445" s="82">
        <f t="shared" si="348"/>
        <v>0</v>
      </c>
    </row>
    <row r="1446" spans="15:15" ht="14.25" x14ac:dyDescent="0.2">
      <c r="O1446" s="82">
        <f t="shared" si="348"/>
        <v>0</v>
      </c>
    </row>
    <row r="1447" spans="15:15" ht="14.25" x14ac:dyDescent="0.2">
      <c r="O1447" s="82">
        <f t="shared" si="348"/>
        <v>0</v>
      </c>
    </row>
    <row r="1448" spans="15:15" ht="14.25" x14ac:dyDescent="0.2">
      <c r="O1448" s="82">
        <f t="shared" si="348"/>
        <v>0</v>
      </c>
    </row>
    <row r="1449" spans="15:15" ht="14.25" x14ac:dyDescent="0.2">
      <c r="O1449" s="82">
        <f t="shared" si="348"/>
        <v>0</v>
      </c>
    </row>
    <row r="1450" spans="15:15" ht="14.25" x14ac:dyDescent="0.2">
      <c r="O1450" s="82">
        <f t="shared" si="348"/>
        <v>0</v>
      </c>
    </row>
    <row r="1451" spans="15:15" ht="14.25" x14ac:dyDescent="0.2">
      <c r="O1451" s="82">
        <f t="shared" si="348"/>
        <v>0</v>
      </c>
    </row>
    <row r="1452" spans="15:15" ht="14.25" x14ac:dyDescent="0.2">
      <c r="O1452" s="82">
        <f t="shared" si="348"/>
        <v>0</v>
      </c>
    </row>
    <row r="1453" spans="15:15" ht="14.25" x14ac:dyDescent="0.2">
      <c r="O1453" s="82">
        <f t="shared" si="348"/>
        <v>0</v>
      </c>
    </row>
    <row r="1454" spans="15:15" ht="14.25" x14ac:dyDescent="0.2">
      <c r="O1454" s="82">
        <f t="shared" si="348"/>
        <v>0</v>
      </c>
    </row>
    <row r="1455" spans="15:15" ht="14.25" x14ac:dyDescent="0.2">
      <c r="O1455" s="82">
        <f t="shared" si="348"/>
        <v>0</v>
      </c>
    </row>
    <row r="1456" spans="15:15" ht="14.25" x14ac:dyDescent="0.2">
      <c r="O1456" s="82">
        <f t="shared" si="348"/>
        <v>0</v>
      </c>
    </row>
    <row r="1457" spans="15:15" ht="14.25" x14ac:dyDescent="0.2">
      <c r="O1457" s="82">
        <f t="shared" si="348"/>
        <v>0</v>
      </c>
    </row>
    <row r="1458" spans="15:15" ht="14.25" x14ac:dyDescent="0.2">
      <c r="O1458" s="82">
        <f t="shared" si="348"/>
        <v>0</v>
      </c>
    </row>
    <row r="1459" spans="15:15" ht="14.25" x14ac:dyDescent="0.2">
      <c r="O1459" s="82">
        <f t="shared" si="348"/>
        <v>0</v>
      </c>
    </row>
    <row r="1460" spans="15:15" ht="14.25" x14ac:dyDescent="0.2">
      <c r="O1460" s="82">
        <f t="shared" si="348"/>
        <v>0</v>
      </c>
    </row>
    <row r="1461" spans="15:15" ht="14.25" x14ac:dyDescent="0.2">
      <c r="O1461" s="82">
        <f t="shared" si="348"/>
        <v>0</v>
      </c>
    </row>
    <row r="1462" spans="15:15" ht="14.25" x14ac:dyDescent="0.2">
      <c r="O1462" s="82">
        <f t="shared" si="348"/>
        <v>0</v>
      </c>
    </row>
    <row r="1463" spans="15:15" ht="14.25" x14ac:dyDescent="0.2">
      <c r="O1463" s="82">
        <f t="shared" si="348"/>
        <v>0</v>
      </c>
    </row>
    <row r="1464" spans="15:15" ht="14.25" x14ac:dyDescent="0.2">
      <c r="O1464" s="82">
        <f t="shared" si="348"/>
        <v>0</v>
      </c>
    </row>
    <row r="1465" spans="15:15" ht="14.25" x14ac:dyDescent="0.2">
      <c r="O1465" s="82">
        <f t="shared" si="348"/>
        <v>0</v>
      </c>
    </row>
    <row r="1466" spans="15:15" ht="14.25" x14ac:dyDescent="0.2">
      <c r="O1466" s="82">
        <f t="shared" si="348"/>
        <v>0</v>
      </c>
    </row>
    <row r="1467" spans="15:15" ht="14.25" x14ac:dyDescent="0.2">
      <c r="O1467" s="82">
        <f t="shared" si="348"/>
        <v>0</v>
      </c>
    </row>
    <row r="1468" spans="15:15" ht="14.25" x14ac:dyDescent="0.2">
      <c r="O1468" s="82">
        <f t="shared" si="348"/>
        <v>0</v>
      </c>
    </row>
    <row r="1469" spans="15:15" ht="14.25" x14ac:dyDescent="0.2">
      <c r="O1469" s="82">
        <f t="shared" si="348"/>
        <v>0</v>
      </c>
    </row>
    <row r="1470" spans="15:15" ht="14.25" x14ac:dyDescent="0.2">
      <c r="O1470" s="82">
        <f t="shared" si="348"/>
        <v>0</v>
      </c>
    </row>
    <row r="1471" spans="15:15" ht="14.25" x14ac:dyDescent="0.2">
      <c r="O1471" s="82">
        <f t="shared" si="348"/>
        <v>0</v>
      </c>
    </row>
    <row r="1472" spans="15:15" ht="14.25" x14ac:dyDescent="0.2">
      <c r="O1472" s="82">
        <f t="shared" si="348"/>
        <v>0</v>
      </c>
    </row>
    <row r="1473" spans="15:15" ht="14.25" x14ac:dyDescent="0.2">
      <c r="O1473" s="82">
        <f t="shared" si="348"/>
        <v>0</v>
      </c>
    </row>
    <row r="1474" spans="15:15" ht="14.25" x14ac:dyDescent="0.2">
      <c r="O1474" s="82">
        <f t="shared" si="348"/>
        <v>0</v>
      </c>
    </row>
    <row r="1475" spans="15:15" ht="14.25" x14ac:dyDescent="0.2">
      <c r="O1475" s="82">
        <f t="shared" si="348"/>
        <v>0</v>
      </c>
    </row>
    <row r="1476" spans="15:15" ht="14.25" x14ac:dyDescent="0.2">
      <c r="O1476" s="82">
        <f t="shared" si="348"/>
        <v>0</v>
      </c>
    </row>
    <row r="1477" spans="15:15" ht="14.25" x14ac:dyDescent="0.2">
      <c r="O1477" s="82">
        <f t="shared" si="348"/>
        <v>0</v>
      </c>
    </row>
    <row r="1478" spans="15:15" ht="14.25" x14ac:dyDescent="0.2">
      <c r="O1478" s="82">
        <f t="shared" ref="O1478" si="349">K1478-J1478</f>
        <v>0</v>
      </c>
    </row>
  </sheetData>
  <mergeCells count="36">
    <mergeCell ref="A1:M1"/>
    <mergeCell ref="A45:L45"/>
    <mergeCell ref="A135:L135"/>
    <mergeCell ref="A173:L173"/>
    <mergeCell ref="A212:L212"/>
    <mergeCell ref="A242:L242"/>
    <mergeCell ref="A355:L355"/>
    <mergeCell ref="A450:L450"/>
    <mergeCell ref="A615:L615"/>
    <mergeCell ref="A637:L637"/>
    <mergeCell ref="A638:L638"/>
    <mergeCell ref="A691:L691"/>
    <mergeCell ref="A894:L894"/>
    <mergeCell ref="A934:L934"/>
    <mergeCell ref="A954:L954"/>
    <mergeCell ref="A990:L990"/>
    <mergeCell ref="A1009:L1009"/>
    <mergeCell ref="A1010:L1010"/>
    <mergeCell ref="A1133:L1133"/>
    <mergeCell ref="A1191:L1191"/>
    <mergeCell ref="A1398:L1398"/>
    <mergeCell ref="A1401:L1401"/>
    <mergeCell ref="A1407:L1407"/>
    <mergeCell ref="A1409:C1409"/>
    <mergeCell ref="K1409:M1409"/>
    <mergeCell ref="A1410:C1410"/>
    <mergeCell ref="K1410:M1410"/>
    <mergeCell ref="A1411:C1411"/>
    <mergeCell ref="K1411:M1411"/>
    <mergeCell ref="B1413:K1413"/>
    <mergeCell ref="L1413:M1413"/>
    <mergeCell ref="B1414:K1414"/>
    <mergeCell ref="L1414:M1414"/>
    <mergeCell ref="B1415:K1415"/>
    <mergeCell ref="L1415:M1415"/>
    <mergeCell ref="A1416:M1416"/>
  </mergeCells>
  <phoneticPr fontId="17" type="noConversion"/>
  <pageMargins left="0.7" right="0.7" top="0.75" bottom="0.75" header="0.3" footer="0.3"/>
  <pageSetup paperSize="9" scale="53" orientation="portrait" r:id="rId1"/>
  <rowBreaks count="4" manualBreakCount="4">
    <brk id="289" max="12" man="1"/>
    <brk id="355" max="12" man="1"/>
    <brk id="1315" max="12" man="1"/>
    <brk id="1401" max="12" man="1"/>
  </rowBreaks>
  <colBreaks count="2" manualBreakCount="2">
    <brk id="13" max="1420" man="1"/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C2284"/>
  <sheetViews>
    <sheetView view="pageBreakPreview" topLeftCell="A1125" zoomScale="82" zoomScaleNormal="82" zoomScaleSheetLayoutView="82" workbookViewId="0">
      <selection activeCell="I1142" sqref="I1142"/>
    </sheetView>
  </sheetViews>
  <sheetFormatPr baseColWidth="10" defaultColWidth="9" defaultRowHeight="14.25" x14ac:dyDescent="0.2"/>
  <cols>
    <col min="1" max="1" width="7.42578125" style="4" customWidth="1"/>
    <col min="2" max="2" width="48.140625" style="5" customWidth="1"/>
    <col min="3" max="3" width="4" style="6" customWidth="1"/>
    <col min="4" max="4" width="5.7109375" style="6" customWidth="1"/>
    <col min="5" max="9" width="8.7109375" style="96" customWidth="1"/>
    <col min="10" max="10" width="9.7109375" style="96" customWidth="1"/>
    <col min="11" max="11" width="11.7109375" style="169" customWidth="1"/>
    <col min="12" max="12" width="10.28515625" style="169" customWidth="1"/>
    <col min="13" max="13" width="17.85546875" style="171" customWidth="1"/>
    <col min="14" max="14" width="13.7109375" style="5" customWidth="1"/>
    <col min="15" max="15" width="18.140625" style="5" customWidth="1"/>
    <col min="16" max="263" width="11.42578125" style="5" customWidth="1"/>
    <col min="264" max="16384" width="9" style="80"/>
  </cols>
  <sheetData>
    <row r="1" spans="1:15" ht="24" customHeight="1" x14ac:dyDescent="0.2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5" s="3" customFormat="1" ht="29.25" customHeight="1" x14ac:dyDescent="0.2">
      <c r="A2" s="19" t="s">
        <v>75</v>
      </c>
      <c r="B2" s="20" t="s">
        <v>2</v>
      </c>
      <c r="C2" s="20" t="s">
        <v>3</v>
      </c>
      <c r="D2" s="20" t="s">
        <v>421</v>
      </c>
      <c r="E2" s="87" t="s">
        <v>457</v>
      </c>
      <c r="F2" s="87" t="s">
        <v>458</v>
      </c>
      <c r="G2" s="87" t="s">
        <v>459</v>
      </c>
      <c r="H2" s="87" t="s">
        <v>460</v>
      </c>
      <c r="I2" s="87"/>
      <c r="J2" s="87"/>
      <c r="K2" s="152" t="s">
        <v>456</v>
      </c>
      <c r="L2" s="153" t="s">
        <v>83</v>
      </c>
      <c r="M2" s="154" t="s">
        <v>34</v>
      </c>
    </row>
    <row r="3" spans="1:15" ht="18" customHeight="1" x14ac:dyDescent="0.2">
      <c r="A3" s="24"/>
      <c r="B3" s="25" t="s">
        <v>140</v>
      </c>
      <c r="C3" s="26"/>
      <c r="D3" s="26"/>
      <c r="E3" s="88"/>
      <c r="F3" s="88"/>
      <c r="G3" s="88"/>
      <c r="H3" s="88"/>
      <c r="I3" s="88"/>
      <c r="J3" s="88"/>
      <c r="K3" s="155"/>
      <c r="L3" s="155"/>
      <c r="M3" s="156"/>
    </row>
    <row r="4" spans="1:15" ht="18" customHeight="1" x14ac:dyDescent="0.2">
      <c r="A4" s="30"/>
      <c r="B4" s="31" t="s">
        <v>498</v>
      </c>
      <c r="C4" s="32"/>
      <c r="D4" s="32"/>
      <c r="E4" s="89"/>
      <c r="F4" s="89"/>
      <c r="G4" s="89"/>
      <c r="H4" s="89"/>
      <c r="I4" s="89"/>
      <c r="J4" s="89"/>
      <c r="K4" s="157"/>
      <c r="L4" s="157"/>
      <c r="M4" s="158"/>
      <c r="N4" s="13"/>
    </row>
    <row r="5" spans="1:15" s="5" customFormat="1" ht="18" customHeight="1" x14ac:dyDescent="0.2">
      <c r="A5" s="30" t="s">
        <v>142</v>
      </c>
      <c r="B5" s="36" t="s">
        <v>499</v>
      </c>
      <c r="C5" s="32" t="s">
        <v>500</v>
      </c>
      <c r="D5" s="32">
        <v>1</v>
      </c>
      <c r="E5" s="89"/>
      <c r="F5" s="89"/>
      <c r="G5" s="89"/>
      <c r="H5" s="89">
        <f>PRODUCT(D5:G5)</f>
        <v>1</v>
      </c>
      <c r="I5" s="89">
        <f>H5</f>
        <v>1</v>
      </c>
      <c r="J5" s="89">
        <f>I5</f>
        <v>1</v>
      </c>
      <c r="K5" s="157">
        <v>1</v>
      </c>
      <c r="L5" s="157">
        <v>20000</v>
      </c>
      <c r="M5" s="158">
        <f>+L5*K5</f>
        <v>20000</v>
      </c>
      <c r="O5" s="82">
        <f>K5-J5</f>
        <v>0</v>
      </c>
    </row>
    <row r="6" spans="1:15" ht="18" customHeight="1" x14ac:dyDescent="0.2">
      <c r="A6" s="30"/>
      <c r="B6" s="31"/>
      <c r="C6" s="32"/>
      <c r="D6" s="32"/>
      <c r="E6" s="89"/>
      <c r="F6" s="89"/>
      <c r="G6" s="89"/>
      <c r="H6" s="89"/>
      <c r="I6" s="89"/>
      <c r="J6" s="89"/>
      <c r="K6" s="157"/>
      <c r="L6" s="157"/>
      <c r="M6" s="158"/>
      <c r="N6" s="13"/>
      <c r="O6" s="82">
        <f t="shared" ref="O6:O69" si="0">K6-J6</f>
        <v>0</v>
      </c>
    </row>
    <row r="7" spans="1:15" s="5" customFormat="1" ht="18" customHeight="1" x14ac:dyDescent="0.2">
      <c r="A7" s="30" t="s">
        <v>142</v>
      </c>
      <c r="B7" s="36" t="s">
        <v>349</v>
      </c>
      <c r="C7" s="32" t="s">
        <v>4</v>
      </c>
      <c r="D7" s="32"/>
      <c r="E7" s="89"/>
      <c r="F7" s="89"/>
      <c r="G7" s="89"/>
      <c r="H7" s="89"/>
      <c r="I7" s="89"/>
      <c r="J7" s="89">
        <f>SUM(I7:I14)</f>
        <v>1106.1100000000001</v>
      </c>
      <c r="K7" s="157">
        <v>1200</v>
      </c>
      <c r="L7" s="157">
        <v>20</v>
      </c>
      <c r="M7" s="158">
        <f>+L7*K7</f>
        <v>24000</v>
      </c>
      <c r="O7" s="82">
        <f t="shared" si="0"/>
        <v>93.889999999999873</v>
      </c>
    </row>
    <row r="8" spans="1:15" s="5" customFormat="1" ht="18" customHeight="1" x14ac:dyDescent="0.2">
      <c r="A8" s="30"/>
      <c r="B8" s="98" t="s">
        <v>464</v>
      </c>
      <c r="C8" s="32"/>
      <c r="D8" s="32">
        <v>1</v>
      </c>
      <c r="E8" s="89">
        <f>43.7+1*2</f>
        <v>45.7</v>
      </c>
      <c r="F8" s="89">
        <f>11.25+1*2</f>
        <v>13.25</v>
      </c>
      <c r="G8" s="89"/>
      <c r="H8" s="89">
        <f>PRODUCT(D8:G8)</f>
        <v>605.52500000000009</v>
      </c>
      <c r="I8" s="89"/>
      <c r="J8" s="89"/>
      <c r="K8" s="157"/>
      <c r="L8" s="157"/>
      <c r="M8" s="158"/>
      <c r="O8" s="82">
        <f t="shared" si="0"/>
        <v>0</v>
      </c>
    </row>
    <row r="9" spans="1:15" s="5" customFormat="1" ht="18" customHeight="1" x14ac:dyDescent="0.2">
      <c r="A9" s="30"/>
      <c r="B9" s="36"/>
      <c r="C9" s="32"/>
      <c r="D9" s="32">
        <v>2</v>
      </c>
      <c r="E9" s="89">
        <v>4.1500000000000004</v>
      </c>
      <c r="F9" s="89">
        <f>3.8+1*2</f>
        <v>5.8</v>
      </c>
      <c r="G9" s="89"/>
      <c r="H9" s="89">
        <f>PRODUCT(D9:G9)</f>
        <v>48.14</v>
      </c>
      <c r="I9" s="120"/>
      <c r="J9" s="120"/>
      <c r="K9" s="157"/>
      <c r="L9" s="157"/>
      <c r="M9" s="158"/>
      <c r="O9" s="82">
        <f t="shared" si="0"/>
        <v>0</v>
      </c>
    </row>
    <row r="10" spans="1:15" s="5" customFormat="1" ht="16.149999999999999" customHeight="1" x14ac:dyDescent="0.2">
      <c r="A10" s="30"/>
      <c r="B10" s="98" t="s">
        <v>465</v>
      </c>
      <c r="C10" s="32"/>
      <c r="D10" s="32">
        <v>1</v>
      </c>
      <c r="E10" s="89">
        <f>10.7+1*2</f>
        <v>12.7</v>
      </c>
      <c r="F10" s="89">
        <f>9.6+1*2</f>
        <v>11.6</v>
      </c>
      <c r="G10" s="89"/>
      <c r="H10" s="89">
        <f t="shared" ref="H10:H13" si="1">PRODUCT(D10:G10)</f>
        <v>147.32</v>
      </c>
      <c r="I10" s="89"/>
      <c r="J10" s="89"/>
      <c r="K10" s="157"/>
      <c r="L10" s="157"/>
      <c r="M10" s="158"/>
      <c r="O10" s="82">
        <f t="shared" si="0"/>
        <v>0</v>
      </c>
    </row>
    <row r="11" spans="1:15" s="5" customFormat="1" ht="16.149999999999999" customHeight="1" x14ac:dyDescent="0.2">
      <c r="A11" s="30"/>
      <c r="B11" s="98" t="s">
        <v>530</v>
      </c>
      <c r="C11" s="32"/>
      <c r="D11" s="32">
        <v>1</v>
      </c>
      <c r="E11" s="89">
        <f>11.1+1*2</f>
        <v>13.1</v>
      </c>
      <c r="F11" s="89">
        <f>9.75+1*2</f>
        <v>11.75</v>
      </c>
      <c r="G11" s="89"/>
      <c r="H11" s="89">
        <f t="shared" si="1"/>
        <v>153.92499999999998</v>
      </c>
      <c r="I11" s="89"/>
      <c r="J11" s="89"/>
      <c r="K11" s="157"/>
      <c r="L11" s="157"/>
      <c r="M11" s="158"/>
      <c r="O11" s="82">
        <f t="shared" si="0"/>
        <v>0</v>
      </c>
    </row>
    <row r="12" spans="1:15" s="5" customFormat="1" ht="15.6" customHeight="1" x14ac:dyDescent="0.2">
      <c r="A12" s="30"/>
      <c r="B12" s="98" t="s">
        <v>466</v>
      </c>
      <c r="C12" s="32"/>
      <c r="D12" s="32">
        <v>1</v>
      </c>
      <c r="E12" s="89">
        <f>8.8+1*2</f>
        <v>10.8</v>
      </c>
      <c r="F12" s="89">
        <f>9.8+1*2</f>
        <v>11.8</v>
      </c>
      <c r="G12" s="89"/>
      <c r="H12" s="89">
        <f t="shared" si="1"/>
        <v>127.44000000000001</v>
      </c>
      <c r="I12" s="89"/>
      <c r="J12" s="89"/>
      <c r="K12" s="157"/>
      <c r="L12" s="157"/>
      <c r="M12" s="158"/>
      <c r="O12" s="82">
        <f t="shared" si="0"/>
        <v>0</v>
      </c>
    </row>
    <row r="13" spans="1:15" s="5" customFormat="1" ht="16.149999999999999" customHeight="1" x14ac:dyDescent="0.2">
      <c r="A13" s="30"/>
      <c r="B13" s="98" t="s">
        <v>467</v>
      </c>
      <c r="C13" s="32"/>
      <c r="D13" s="32">
        <v>1</v>
      </c>
      <c r="E13" s="89">
        <f>2.4+1*2</f>
        <v>4.4000000000000004</v>
      </c>
      <c r="F13" s="89">
        <f>3.4+1*2</f>
        <v>5.4</v>
      </c>
      <c r="G13" s="89"/>
      <c r="H13" s="89">
        <f t="shared" si="1"/>
        <v>23.760000000000005</v>
      </c>
      <c r="I13" s="89"/>
      <c r="J13" s="89"/>
      <c r="K13" s="157"/>
      <c r="L13" s="157"/>
      <c r="M13" s="158"/>
      <c r="O13" s="82">
        <f t="shared" si="0"/>
        <v>0</v>
      </c>
    </row>
    <row r="14" spans="1:15" s="5" customFormat="1" ht="18" customHeight="1" x14ac:dyDescent="0.2">
      <c r="A14" s="30"/>
      <c r="B14" s="36"/>
      <c r="C14" s="32"/>
      <c r="D14" s="32"/>
      <c r="E14" s="89"/>
      <c r="F14" s="89"/>
      <c r="G14" s="89"/>
      <c r="H14" s="89"/>
      <c r="I14" s="89">
        <f>SUM(H8:H13)</f>
        <v>1106.1100000000001</v>
      </c>
      <c r="J14" s="89"/>
      <c r="K14" s="157"/>
      <c r="L14" s="157"/>
      <c r="M14" s="158"/>
      <c r="O14" s="82">
        <f t="shared" si="0"/>
        <v>0</v>
      </c>
    </row>
    <row r="15" spans="1:15" s="5" customFormat="1" ht="18" customHeight="1" x14ac:dyDescent="0.2">
      <c r="A15" s="30"/>
      <c r="B15" s="36"/>
      <c r="C15" s="32"/>
      <c r="D15" s="32"/>
      <c r="E15" s="89"/>
      <c r="F15" s="89"/>
      <c r="G15" s="89"/>
      <c r="H15" s="89"/>
      <c r="I15" s="89"/>
      <c r="J15" s="89"/>
      <c r="K15" s="157"/>
      <c r="L15" s="157"/>
      <c r="M15" s="158"/>
      <c r="O15" s="82">
        <f t="shared" si="0"/>
        <v>0</v>
      </c>
    </row>
    <row r="16" spans="1:15" s="5" customFormat="1" ht="28.5" customHeight="1" x14ac:dyDescent="0.2">
      <c r="A16" s="30" t="s">
        <v>143</v>
      </c>
      <c r="B16" s="36" t="s">
        <v>312</v>
      </c>
      <c r="C16" s="32" t="s">
        <v>5</v>
      </c>
      <c r="D16" s="32"/>
      <c r="E16" s="89"/>
      <c r="F16" s="89"/>
      <c r="G16" s="89"/>
      <c r="H16" s="89"/>
      <c r="I16" s="89"/>
      <c r="J16" s="89"/>
      <c r="K16" s="157">
        <v>80</v>
      </c>
      <c r="L16" s="157">
        <v>30</v>
      </c>
      <c r="M16" s="158">
        <f>+L16*K16</f>
        <v>2400</v>
      </c>
      <c r="O16" s="82">
        <f t="shared" si="0"/>
        <v>80</v>
      </c>
    </row>
    <row r="17" spans="1:15" s="5" customFormat="1" ht="28.5" customHeight="1" x14ac:dyDescent="0.2">
      <c r="A17" s="30"/>
      <c r="B17" s="36"/>
      <c r="C17" s="32"/>
      <c r="D17" s="32"/>
      <c r="E17" s="89"/>
      <c r="F17" s="89"/>
      <c r="G17" s="89"/>
      <c r="H17" s="89"/>
      <c r="I17" s="89"/>
      <c r="J17" s="89"/>
      <c r="K17" s="157"/>
      <c r="L17" s="157"/>
      <c r="M17" s="158"/>
      <c r="O17" s="82">
        <f t="shared" si="0"/>
        <v>0</v>
      </c>
    </row>
    <row r="18" spans="1:15" s="5" customFormat="1" ht="28.5" customHeight="1" x14ac:dyDescent="0.2">
      <c r="A18" s="30" t="s">
        <v>144</v>
      </c>
      <c r="B18" s="36" t="s">
        <v>254</v>
      </c>
      <c r="C18" s="32" t="s">
        <v>5</v>
      </c>
      <c r="D18" s="32"/>
      <c r="E18" s="89"/>
      <c r="F18" s="89"/>
      <c r="G18" s="89"/>
      <c r="H18" s="89"/>
      <c r="I18" s="89"/>
      <c r="J18" s="89">
        <f>SUM(I19:I55)</f>
        <v>447.79600000000005</v>
      </c>
      <c r="K18" s="157">
        <v>450</v>
      </c>
      <c r="L18" s="157">
        <v>50</v>
      </c>
      <c r="M18" s="158">
        <f>+L18*K18</f>
        <v>22500</v>
      </c>
      <c r="O18" s="82">
        <f t="shared" si="0"/>
        <v>2.2039999999999509</v>
      </c>
    </row>
    <row r="19" spans="1:15" s="5" customFormat="1" ht="16.149999999999999" customHeight="1" x14ac:dyDescent="0.2">
      <c r="A19" s="30"/>
      <c r="B19" s="98" t="s">
        <v>464</v>
      </c>
      <c r="C19" s="32"/>
      <c r="D19" s="32"/>
      <c r="E19" s="89"/>
      <c r="F19" s="89"/>
      <c r="G19" s="89"/>
      <c r="H19" s="89"/>
      <c r="I19" s="89"/>
      <c r="K19" s="157"/>
      <c r="L19" s="157"/>
      <c r="M19" s="158"/>
      <c r="O19" s="82">
        <f t="shared" si="0"/>
        <v>0</v>
      </c>
    </row>
    <row r="20" spans="1:15" s="5" customFormat="1" ht="16.149999999999999" customHeight="1" x14ac:dyDescent="0.2">
      <c r="A20" s="30"/>
      <c r="B20" s="36" t="s">
        <v>461</v>
      </c>
      <c r="C20" s="32"/>
      <c r="D20" s="32">
        <v>2</v>
      </c>
      <c r="E20" s="89">
        <f>43.7+0.35</f>
        <v>44.050000000000004</v>
      </c>
      <c r="F20" s="89">
        <v>0.6</v>
      </c>
      <c r="G20" s="89">
        <v>1.3</v>
      </c>
      <c r="H20" s="89">
        <f>PRODUCT(D20:G20)</f>
        <v>68.718000000000018</v>
      </c>
      <c r="I20" s="89"/>
      <c r="J20" s="89"/>
      <c r="K20" s="157"/>
      <c r="L20" s="157"/>
      <c r="M20" s="158"/>
      <c r="O20" s="82">
        <f t="shared" si="0"/>
        <v>0</v>
      </c>
    </row>
    <row r="21" spans="1:15" s="5" customFormat="1" ht="16.149999999999999" customHeight="1" x14ac:dyDescent="0.2">
      <c r="A21" s="30"/>
      <c r="B21" s="36"/>
      <c r="C21" s="32"/>
      <c r="D21" s="32">
        <v>4</v>
      </c>
      <c r="E21" s="89">
        <f>15.2-0.5*2</f>
        <v>14.2</v>
      </c>
      <c r="F21" s="89">
        <v>0.6</v>
      </c>
      <c r="G21" s="89">
        <v>1.3</v>
      </c>
      <c r="H21" s="89">
        <f t="shared" ref="H21:H53" si="2">PRODUCT(D21:G21)</f>
        <v>44.304000000000002</v>
      </c>
      <c r="I21" s="89"/>
      <c r="J21" s="89"/>
      <c r="K21" s="157"/>
      <c r="L21" s="157"/>
      <c r="M21" s="158"/>
      <c r="O21" s="82">
        <f t="shared" si="0"/>
        <v>0</v>
      </c>
    </row>
    <row r="22" spans="1:15" s="5" customFormat="1" ht="16.149999999999999" customHeight="1" x14ac:dyDescent="0.2">
      <c r="A22" s="30"/>
      <c r="B22" s="36" t="s">
        <v>462</v>
      </c>
      <c r="C22" s="32"/>
      <c r="D22" s="32">
        <v>30</v>
      </c>
      <c r="E22" s="89">
        <f>1.2+0.2</f>
        <v>1.4</v>
      </c>
      <c r="F22" s="89">
        <f>1.2+0.2</f>
        <v>1.4</v>
      </c>
      <c r="G22" s="89">
        <v>1.3</v>
      </c>
      <c r="H22" s="89">
        <f t="shared" si="2"/>
        <v>76.44</v>
      </c>
      <c r="I22" s="89"/>
      <c r="J22" s="89"/>
      <c r="K22" s="157"/>
      <c r="L22" s="157"/>
      <c r="M22" s="158"/>
      <c r="O22" s="82">
        <f t="shared" si="0"/>
        <v>0</v>
      </c>
    </row>
    <row r="23" spans="1:15" s="5" customFormat="1" ht="16.149999999999999" customHeight="1" x14ac:dyDescent="0.2">
      <c r="A23" s="30"/>
      <c r="B23" s="36" t="s">
        <v>463</v>
      </c>
      <c r="C23" s="32"/>
      <c r="D23" s="32">
        <v>2</v>
      </c>
      <c r="E23" s="89">
        <f>43.7+0.35-8*0.25</f>
        <v>42.050000000000004</v>
      </c>
      <c r="F23" s="89">
        <v>0.4</v>
      </c>
      <c r="G23" s="89">
        <v>0.5</v>
      </c>
      <c r="H23" s="89">
        <f t="shared" si="2"/>
        <v>16.820000000000004</v>
      </c>
      <c r="I23" s="89"/>
      <c r="J23" s="89"/>
      <c r="K23" s="157"/>
      <c r="L23" s="157"/>
      <c r="M23" s="158"/>
      <c r="O23" s="82">
        <f t="shared" si="0"/>
        <v>0</v>
      </c>
    </row>
    <row r="24" spans="1:15" s="5" customFormat="1" ht="16.149999999999999" customHeight="1" x14ac:dyDescent="0.2">
      <c r="A24" s="30"/>
      <c r="B24" s="36"/>
      <c r="C24" s="32"/>
      <c r="D24" s="32">
        <v>7</v>
      </c>
      <c r="E24" s="89">
        <f>11.25-0.25*2</f>
        <v>10.75</v>
      </c>
      <c r="F24" s="89">
        <v>0.4</v>
      </c>
      <c r="G24" s="89">
        <v>0.5</v>
      </c>
      <c r="H24" s="89">
        <f t="shared" si="2"/>
        <v>15.05</v>
      </c>
      <c r="I24" s="89"/>
      <c r="J24" s="89"/>
      <c r="K24" s="157"/>
      <c r="L24" s="157"/>
      <c r="M24" s="158"/>
      <c r="O24" s="82">
        <f t="shared" si="0"/>
        <v>0</v>
      </c>
    </row>
    <row r="25" spans="1:15" s="5" customFormat="1" ht="16.149999999999999" customHeight="1" x14ac:dyDescent="0.2">
      <c r="A25" s="30"/>
      <c r="B25" s="36"/>
      <c r="C25" s="32"/>
      <c r="D25" s="32"/>
      <c r="E25" s="89"/>
      <c r="F25" s="89"/>
      <c r="G25" s="89"/>
      <c r="H25" s="89">
        <f t="shared" si="2"/>
        <v>0</v>
      </c>
      <c r="I25" s="89">
        <f>SUM(H20:H24)</f>
        <v>221.33200000000002</v>
      </c>
      <c r="J25" s="89"/>
      <c r="K25" s="157"/>
      <c r="L25" s="157"/>
      <c r="M25" s="158"/>
      <c r="O25" s="82">
        <f t="shared" si="0"/>
        <v>0</v>
      </c>
    </row>
    <row r="26" spans="1:15" s="5" customFormat="1" ht="16.149999999999999" customHeight="1" x14ac:dyDescent="0.2">
      <c r="A26" s="30"/>
      <c r="B26" s="98" t="s">
        <v>465</v>
      </c>
      <c r="C26" s="32"/>
      <c r="D26" s="32"/>
      <c r="E26" s="89"/>
      <c r="F26" s="89"/>
      <c r="G26" s="89"/>
      <c r="H26" s="89">
        <f t="shared" si="2"/>
        <v>0</v>
      </c>
      <c r="I26" s="89"/>
      <c r="J26" s="89"/>
      <c r="K26" s="157"/>
      <c r="L26" s="157"/>
      <c r="M26" s="158"/>
      <c r="O26" s="82">
        <f t="shared" si="0"/>
        <v>0</v>
      </c>
    </row>
    <row r="27" spans="1:15" s="5" customFormat="1" ht="16.149999999999999" customHeight="1" x14ac:dyDescent="0.2">
      <c r="A27" s="30"/>
      <c r="B27" s="36" t="s">
        <v>461</v>
      </c>
      <c r="C27" s="32"/>
      <c r="D27" s="32">
        <v>2</v>
      </c>
      <c r="E27" s="89">
        <v>10.9</v>
      </c>
      <c r="F27" s="89">
        <v>0.6</v>
      </c>
      <c r="G27" s="89">
        <v>1.3</v>
      </c>
      <c r="H27" s="89">
        <f t="shared" si="2"/>
        <v>17.004000000000001</v>
      </c>
      <c r="I27" s="89"/>
      <c r="J27" s="89"/>
      <c r="K27" s="157"/>
      <c r="L27" s="157"/>
      <c r="M27" s="158"/>
      <c r="O27" s="82">
        <f t="shared" si="0"/>
        <v>0</v>
      </c>
    </row>
    <row r="28" spans="1:15" s="5" customFormat="1" ht="16.149999999999999" customHeight="1" x14ac:dyDescent="0.2">
      <c r="A28" s="30"/>
      <c r="B28" s="36"/>
      <c r="C28" s="32"/>
      <c r="D28" s="32">
        <v>2</v>
      </c>
      <c r="E28" s="89">
        <f>9.6-0.5*2</f>
        <v>8.6</v>
      </c>
      <c r="F28" s="89">
        <v>0.6</v>
      </c>
      <c r="G28" s="89">
        <v>1.3</v>
      </c>
      <c r="H28" s="89">
        <f t="shared" si="2"/>
        <v>13.415999999999999</v>
      </c>
      <c r="I28" s="89"/>
      <c r="J28" s="89"/>
      <c r="K28" s="157"/>
      <c r="L28" s="157"/>
      <c r="M28" s="158"/>
      <c r="O28" s="82">
        <f t="shared" si="0"/>
        <v>0</v>
      </c>
    </row>
    <row r="29" spans="1:15" s="5" customFormat="1" ht="16.149999999999999" customHeight="1" x14ac:dyDescent="0.2">
      <c r="A29" s="30"/>
      <c r="B29" s="36" t="s">
        <v>462</v>
      </c>
      <c r="C29" s="32"/>
      <c r="D29" s="32">
        <v>15</v>
      </c>
      <c r="E29" s="89">
        <f>1.2+0.2</f>
        <v>1.4</v>
      </c>
      <c r="F29" s="89">
        <f>1.2+0.2</f>
        <v>1.4</v>
      </c>
      <c r="G29" s="89">
        <v>1.3</v>
      </c>
      <c r="H29" s="89">
        <f t="shared" si="2"/>
        <v>38.22</v>
      </c>
      <c r="I29" s="89"/>
      <c r="J29" s="89"/>
      <c r="K29" s="157"/>
      <c r="L29" s="157"/>
      <c r="M29" s="158"/>
      <c r="O29" s="82">
        <f t="shared" si="0"/>
        <v>0</v>
      </c>
    </row>
    <row r="30" spans="1:15" s="5" customFormat="1" ht="16.149999999999999" customHeight="1" x14ac:dyDescent="0.2">
      <c r="A30" s="30"/>
      <c r="B30" s="36" t="s">
        <v>463</v>
      </c>
      <c r="C30" s="32"/>
      <c r="D30" s="32">
        <v>1</v>
      </c>
      <c r="E30" s="89">
        <f>4.7-0.25*2</f>
        <v>4.2</v>
      </c>
      <c r="F30" s="89">
        <v>0.4</v>
      </c>
      <c r="G30" s="89">
        <v>0.5</v>
      </c>
      <c r="H30" s="89">
        <f t="shared" si="2"/>
        <v>0.84000000000000008</v>
      </c>
      <c r="I30" s="89"/>
      <c r="J30" s="89"/>
      <c r="K30" s="157"/>
      <c r="L30" s="157"/>
      <c r="M30" s="158"/>
      <c r="O30" s="82">
        <f t="shared" si="0"/>
        <v>0</v>
      </c>
    </row>
    <row r="31" spans="1:15" s="5" customFormat="1" ht="16.149999999999999" customHeight="1" x14ac:dyDescent="0.2">
      <c r="A31" s="30"/>
      <c r="B31" s="36"/>
      <c r="C31" s="32"/>
      <c r="D31" s="32">
        <v>1</v>
      </c>
      <c r="E31" s="89">
        <v>4.3</v>
      </c>
      <c r="F31" s="89">
        <v>0.4</v>
      </c>
      <c r="G31" s="89">
        <v>0.5</v>
      </c>
      <c r="H31" s="89">
        <f t="shared" si="2"/>
        <v>0.86</v>
      </c>
      <c r="I31" s="89"/>
      <c r="J31" s="89"/>
      <c r="K31" s="157"/>
      <c r="L31" s="157"/>
      <c r="M31" s="158"/>
      <c r="O31" s="82">
        <f t="shared" si="0"/>
        <v>0</v>
      </c>
    </row>
    <row r="32" spans="1:15" s="5" customFormat="1" ht="16.149999999999999" customHeight="1" x14ac:dyDescent="0.2">
      <c r="A32" s="30"/>
      <c r="B32" s="36"/>
      <c r="C32" s="32"/>
      <c r="D32" s="32">
        <v>1</v>
      </c>
      <c r="E32" s="89">
        <f>3.6-0.25</f>
        <v>3.35</v>
      </c>
      <c r="F32" s="89">
        <v>0.4</v>
      </c>
      <c r="G32" s="89">
        <v>0.5</v>
      </c>
      <c r="H32" s="89">
        <f t="shared" si="2"/>
        <v>0.67</v>
      </c>
      <c r="I32" s="89"/>
      <c r="J32" s="89"/>
      <c r="K32" s="157"/>
      <c r="L32" s="157"/>
      <c r="M32" s="158"/>
      <c r="O32" s="82">
        <f t="shared" si="0"/>
        <v>0</v>
      </c>
    </row>
    <row r="33" spans="1:15" s="5" customFormat="1" ht="16.149999999999999" customHeight="1" x14ac:dyDescent="0.2">
      <c r="A33" s="30"/>
      <c r="B33" s="36"/>
      <c r="C33" s="32"/>
      <c r="D33" s="32">
        <v>1</v>
      </c>
      <c r="E33" s="89">
        <f>5.1-0.25</f>
        <v>4.8499999999999996</v>
      </c>
      <c r="F33" s="89">
        <v>0.4</v>
      </c>
      <c r="G33" s="89">
        <v>0.5</v>
      </c>
      <c r="H33" s="89">
        <f t="shared" si="2"/>
        <v>0.97</v>
      </c>
      <c r="I33" s="89"/>
      <c r="J33" s="89"/>
      <c r="K33" s="157"/>
      <c r="L33" s="157"/>
      <c r="M33" s="158"/>
      <c r="O33" s="82">
        <f t="shared" si="0"/>
        <v>0</v>
      </c>
    </row>
    <row r="34" spans="1:15" s="5" customFormat="1" ht="16.149999999999999" customHeight="1" x14ac:dyDescent="0.2">
      <c r="A34" s="30"/>
      <c r="B34" s="36"/>
      <c r="C34" s="32"/>
      <c r="D34" s="32"/>
      <c r="E34" s="89"/>
      <c r="F34" s="89"/>
      <c r="G34" s="89"/>
      <c r="H34" s="89">
        <f t="shared" si="2"/>
        <v>0</v>
      </c>
      <c r="I34" s="89">
        <f>SUM(H27:H33)</f>
        <v>71.98</v>
      </c>
      <c r="J34" s="89"/>
      <c r="K34" s="157"/>
      <c r="L34" s="157"/>
      <c r="M34" s="158"/>
      <c r="O34" s="82">
        <f t="shared" si="0"/>
        <v>0</v>
      </c>
    </row>
    <row r="35" spans="1:15" s="5" customFormat="1" ht="16.149999999999999" customHeight="1" x14ac:dyDescent="0.2">
      <c r="A35" s="30"/>
      <c r="B35" s="98" t="s">
        <v>530</v>
      </c>
      <c r="C35" s="32"/>
      <c r="D35" s="32"/>
      <c r="E35" s="89"/>
      <c r="F35" s="89"/>
      <c r="G35" s="89"/>
      <c r="H35" s="89">
        <f t="shared" ref="H35:H42" si="3">PRODUCT(D35:G35)</f>
        <v>0</v>
      </c>
      <c r="I35" s="89"/>
      <c r="J35" s="89"/>
      <c r="K35" s="157"/>
      <c r="L35" s="157"/>
      <c r="M35" s="158"/>
      <c r="O35" s="82">
        <f t="shared" si="0"/>
        <v>0</v>
      </c>
    </row>
    <row r="36" spans="1:15" s="5" customFormat="1" ht="16.149999999999999" customHeight="1" x14ac:dyDescent="0.2">
      <c r="A36" s="30"/>
      <c r="B36" s="36" t="s">
        <v>461</v>
      </c>
      <c r="C36" s="32"/>
      <c r="D36" s="32">
        <v>2</v>
      </c>
      <c r="E36" s="89">
        <v>11.3</v>
      </c>
      <c r="F36" s="89">
        <v>0.6</v>
      </c>
      <c r="G36" s="89">
        <v>1.3</v>
      </c>
      <c r="H36" s="89">
        <f t="shared" si="3"/>
        <v>17.628</v>
      </c>
      <c r="I36" s="89"/>
      <c r="J36" s="89"/>
      <c r="K36" s="157"/>
      <c r="L36" s="157"/>
      <c r="M36" s="158"/>
      <c r="O36" s="82">
        <f t="shared" si="0"/>
        <v>0</v>
      </c>
    </row>
    <row r="37" spans="1:15" s="5" customFormat="1" ht="16.149999999999999" customHeight="1" x14ac:dyDescent="0.2">
      <c r="A37" s="30"/>
      <c r="B37" s="36"/>
      <c r="C37" s="32"/>
      <c r="D37" s="32">
        <v>2</v>
      </c>
      <c r="E37" s="89">
        <f>9.75-0.5*2</f>
        <v>8.75</v>
      </c>
      <c r="F37" s="89">
        <v>0.6</v>
      </c>
      <c r="G37" s="89">
        <v>1.3</v>
      </c>
      <c r="H37" s="89">
        <f t="shared" si="3"/>
        <v>13.65</v>
      </c>
      <c r="I37" s="89"/>
      <c r="J37" s="89"/>
      <c r="K37" s="157"/>
      <c r="L37" s="157"/>
      <c r="M37" s="158"/>
      <c r="O37" s="82">
        <f t="shared" si="0"/>
        <v>0</v>
      </c>
    </row>
    <row r="38" spans="1:15" s="5" customFormat="1" ht="16.149999999999999" customHeight="1" x14ac:dyDescent="0.2">
      <c r="A38" s="30"/>
      <c r="B38" s="36" t="s">
        <v>462</v>
      </c>
      <c r="C38" s="32"/>
      <c r="D38" s="32">
        <v>18</v>
      </c>
      <c r="E38" s="89">
        <f>1.2+0.2</f>
        <v>1.4</v>
      </c>
      <c r="F38" s="89">
        <f>1.2+0.2</f>
        <v>1.4</v>
      </c>
      <c r="G38" s="89">
        <v>1.3</v>
      </c>
      <c r="H38" s="89">
        <f t="shared" si="3"/>
        <v>45.863999999999997</v>
      </c>
      <c r="I38" s="89"/>
      <c r="J38" s="89"/>
      <c r="K38" s="157"/>
      <c r="L38" s="157"/>
      <c r="M38" s="158"/>
      <c r="O38" s="82">
        <f t="shared" si="0"/>
        <v>0</v>
      </c>
    </row>
    <row r="39" spans="1:15" s="5" customFormat="1" ht="16.149999999999999" customHeight="1" x14ac:dyDescent="0.2">
      <c r="A39" s="30"/>
      <c r="B39" s="36" t="s">
        <v>463</v>
      </c>
      <c r="C39" s="32"/>
      <c r="D39" s="32">
        <v>2</v>
      </c>
      <c r="E39" s="89">
        <f>8.6-0.25*3</f>
        <v>7.85</v>
      </c>
      <c r="F39" s="89">
        <v>0.4</v>
      </c>
      <c r="G39" s="89">
        <v>0.5</v>
      </c>
      <c r="H39" s="89">
        <f t="shared" si="3"/>
        <v>3.14</v>
      </c>
      <c r="I39" s="89"/>
      <c r="J39" s="89"/>
      <c r="K39" s="157"/>
      <c r="L39" s="157"/>
      <c r="M39" s="158"/>
      <c r="O39" s="82">
        <f t="shared" si="0"/>
        <v>0</v>
      </c>
    </row>
    <row r="40" spans="1:15" s="5" customFormat="1" ht="16.149999999999999" customHeight="1" x14ac:dyDescent="0.2">
      <c r="A40" s="30"/>
      <c r="B40" s="36"/>
      <c r="C40" s="32"/>
      <c r="D40" s="32">
        <v>1</v>
      </c>
      <c r="E40" s="89">
        <f>9.15-0.25*5</f>
        <v>7.9</v>
      </c>
      <c r="F40" s="89">
        <v>0.4</v>
      </c>
      <c r="G40" s="89">
        <v>0.5</v>
      </c>
      <c r="H40" s="89">
        <f t="shared" si="3"/>
        <v>1.58</v>
      </c>
      <c r="I40" s="89"/>
      <c r="J40" s="89"/>
      <c r="K40" s="157"/>
      <c r="L40" s="157"/>
      <c r="M40" s="158"/>
      <c r="O40" s="82">
        <f t="shared" si="0"/>
        <v>0</v>
      </c>
    </row>
    <row r="41" spans="1:15" s="5" customFormat="1" ht="16.149999999999999" customHeight="1" x14ac:dyDescent="0.2">
      <c r="A41" s="30"/>
      <c r="B41" s="36"/>
      <c r="C41" s="32"/>
      <c r="D41" s="32">
        <v>1</v>
      </c>
      <c r="E41" s="89">
        <f>2.8-0.25</f>
        <v>2.5499999999999998</v>
      </c>
      <c r="F41" s="89">
        <v>0.4</v>
      </c>
      <c r="G41" s="89">
        <v>0.5</v>
      </c>
      <c r="H41" s="89">
        <f t="shared" si="3"/>
        <v>0.51</v>
      </c>
      <c r="I41" s="89"/>
      <c r="J41" s="89"/>
      <c r="K41" s="157"/>
      <c r="L41" s="157"/>
      <c r="M41" s="158"/>
      <c r="O41" s="82">
        <f t="shared" si="0"/>
        <v>0</v>
      </c>
    </row>
    <row r="42" spans="1:15" s="5" customFormat="1" ht="16.149999999999999" customHeight="1" x14ac:dyDescent="0.2">
      <c r="A42" s="30"/>
      <c r="B42" s="36"/>
      <c r="C42" s="32"/>
      <c r="D42" s="32"/>
      <c r="E42" s="89"/>
      <c r="F42" s="89"/>
      <c r="G42" s="89"/>
      <c r="H42" s="89">
        <f t="shared" si="3"/>
        <v>0</v>
      </c>
      <c r="I42" s="89">
        <f>SUM(H36:H41)</f>
        <v>82.372</v>
      </c>
      <c r="J42" s="89"/>
      <c r="K42" s="157"/>
      <c r="L42" s="157"/>
      <c r="M42" s="158"/>
      <c r="O42" s="82">
        <f t="shared" si="0"/>
        <v>0</v>
      </c>
    </row>
    <row r="43" spans="1:15" s="5" customFormat="1" ht="15.6" customHeight="1" x14ac:dyDescent="0.2">
      <c r="A43" s="30"/>
      <c r="B43" s="98" t="s">
        <v>466</v>
      </c>
      <c r="C43" s="32"/>
      <c r="D43" s="32"/>
      <c r="E43" s="89"/>
      <c r="F43" s="89"/>
      <c r="G43" s="89"/>
      <c r="H43" s="89">
        <f t="shared" si="2"/>
        <v>0</v>
      </c>
      <c r="I43" s="89"/>
      <c r="J43" s="89"/>
      <c r="K43" s="157"/>
      <c r="L43" s="157"/>
      <c r="M43" s="158"/>
      <c r="O43" s="82">
        <f t="shared" si="0"/>
        <v>0</v>
      </c>
    </row>
    <row r="44" spans="1:15" s="5" customFormat="1" ht="16.149999999999999" customHeight="1" x14ac:dyDescent="0.2">
      <c r="A44" s="30"/>
      <c r="B44" s="36" t="s">
        <v>461</v>
      </c>
      <c r="C44" s="32"/>
      <c r="D44" s="32">
        <v>2</v>
      </c>
      <c r="E44" s="89">
        <f>8.8+0.1*2</f>
        <v>9</v>
      </c>
      <c r="F44" s="89">
        <v>0.6</v>
      </c>
      <c r="G44" s="89">
        <v>1.3</v>
      </c>
      <c r="H44" s="89">
        <f t="shared" si="2"/>
        <v>14.04</v>
      </c>
      <c r="I44" s="89"/>
      <c r="J44" s="89"/>
      <c r="K44" s="157"/>
      <c r="L44" s="157"/>
      <c r="M44" s="158"/>
      <c r="O44" s="82">
        <f t="shared" si="0"/>
        <v>0</v>
      </c>
    </row>
    <row r="45" spans="1:15" s="5" customFormat="1" ht="16.149999999999999" customHeight="1" x14ac:dyDescent="0.2">
      <c r="A45" s="30"/>
      <c r="B45" s="36"/>
      <c r="C45" s="32"/>
      <c r="D45" s="32">
        <v>2</v>
      </c>
      <c r="E45" s="89">
        <f>9.8-0.5*2</f>
        <v>8.8000000000000007</v>
      </c>
      <c r="F45" s="89">
        <v>0.6</v>
      </c>
      <c r="G45" s="89">
        <v>1.3</v>
      </c>
      <c r="H45" s="89">
        <f t="shared" si="2"/>
        <v>13.728000000000002</v>
      </c>
      <c r="I45" s="89"/>
      <c r="J45" s="89"/>
      <c r="K45" s="157"/>
      <c r="L45" s="157"/>
      <c r="M45" s="158"/>
      <c r="O45" s="82">
        <f t="shared" si="0"/>
        <v>0</v>
      </c>
    </row>
    <row r="46" spans="1:15" s="5" customFormat="1" ht="16.149999999999999" customHeight="1" x14ac:dyDescent="0.2">
      <c r="A46" s="30"/>
      <c r="B46" s="36" t="s">
        <v>462</v>
      </c>
      <c r="C46" s="32"/>
      <c r="D46" s="32">
        <v>9</v>
      </c>
      <c r="E46" s="89">
        <f>1.2+0.2</f>
        <v>1.4</v>
      </c>
      <c r="F46" s="89">
        <f>1.2+0.2</f>
        <v>1.4</v>
      </c>
      <c r="G46" s="89">
        <v>1.3</v>
      </c>
      <c r="H46" s="89">
        <f t="shared" si="2"/>
        <v>22.931999999999999</v>
      </c>
      <c r="I46" s="89"/>
      <c r="J46" s="89"/>
      <c r="K46" s="157"/>
      <c r="L46" s="157"/>
      <c r="M46" s="158"/>
      <c r="O46" s="82">
        <f t="shared" si="0"/>
        <v>0</v>
      </c>
    </row>
    <row r="47" spans="1:15" s="5" customFormat="1" ht="16.149999999999999" customHeight="1" x14ac:dyDescent="0.2">
      <c r="A47" s="30"/>
      <c r="B47" s="36" t="s">
        <v>463</v>
      </c>
      <c r="C47" s="32"/>
      <c r="D47" s="32">
        <v>1</v>
      </c>
      <c r="E47" s="89">
        <f>8.8-0.25*3</f>
        <v>8.0500000000000007</v>
      </c>
      <c r="F47" s="89">
        <v>0.4</v>
      </c>
      <c r="G47" s="89">
        <v>0.5</v>
      </c>
      <c r="H47" s="89">
        <f t="shared" si="2"/>
        <v>1.6100000000000003</v>
      </c>
      <c r="I47" s="89"/>
      <c r="J47" s="89"/>
      <c r="K47" s="157"/>
      <c r="L47" s="157"/>
      <c r="M47" s="158"/>
      <c r="O47" s="82">
        <f t="shared" si="0"/>
        <v>0</v>
      </c>
    </row>
    <row r="48" spans="1:15" s="5" customFormat="1" ht="16.149999999999999" customHeight="1" x14ac:dyDescent="0.2">
      <c r="A48" s="30"/>
      <c r="B48" s="36"/>
      <c r="C48" s="32"/>
      <c r="D48" s="32">
        <v>1</v>
      </c>
      <c r="E48" s="89">
        <f>9.8-0.25*3</f>
        <v>9.0500000000000007</v>
      </c>
      <c r="F48" s="89">
        <v>0.4</v>
      </c>
      <c r="G48" s="89">
        <v>0.5</v>
      </c>
      <c r="H48" s="89">
        <f t="shared" si="2"/>
        <v>1.8100000000000003</v>
      </c>
      <c r="I48" s="89"/>
      <c r="J48" s="89"/>
      <c r="K48" s="157"/>
      <c r="L48" s="157"/>
      <c r="M48" s="158"/>
      <c r="O48" s="82">
        <f t="shared" si="0"/>
        <v>0</v>
      </c>
    </row>
    <row r="49" spans="1:15" s="5" customFormat="1" ht="16.149999999999999" customHeight="1" x14ac:dyDescent="0.2">
      <c r="A49" s="30"/>
      <c r="B49" s="36"/>
      <c r="C49" s="32"/>
      <c r="D49" s="32"/>
      <c r="E49" s="89"/>
      <c r="F49" s="89"/>
      <c r="G49" s="89"/>
      <c r="H49" s="89">
        <f t="shared" si="2"/>
        <v>0</v>
      </c>
      <c r="I49" s="89">
        <f>SUM(H44:H48)</f>
        <v>54.120000000000005</v>
      </c>
      <c r="J49" s="89"/>
      <c r="K49" s="157"/>
      <c r="L49" s="157"/>
      <c r="M49" s="158"/>
      <c r="O49" s="82">
        <f t="shared" si="0"/>
        <v>0</v>
      </c>
    </row>
    <row r="50" spans="1:15" s="5" customFormat="1" ht="16.149999999999999" customHeight="1" x14ac:dyDescent="0.2">
      <c r="A50" s="30"/>
      <c r="B50" s="98" t="s">
        <v>467</v>
      </c>
      <c r="C50" s="32"/>
      <c r="D50" s="32"/>
      <c r="E50" s="89"/>
      <c r="F50" s="89"/>
      <c r="G50" s="89"/>
      <c r="H50" s="89">
        <f t="shared" si="2"/>
        <v>0</v>
      </c>
      <c r="I50" s="89"/>
      <c r="J50" s="89"/>
      <c r="K50" s="157"/>
      <c r="L50" s="157"/>
      <c r="M50" s="158"/>
      <c r="O50" s="82">
        <f t="shared" si="0"/>
        <v>0</v>
      </c>
    </row>
    <row r="51" spans="1:15" s="5" customFormat="1" ht="16.149999999999999" customHeight="1" x14ac:dyDescent="0.2">
      <c r="A51" s="30"/>
      <c r="B51" s="36" t="s">
        <v>461</v>
      </c>
      <c r="C51" s="32"/>
      <c r="D51" s="32">
        <v>2</v>
      </c>
      <c r="E51" s="89">
        <f>2.4+0.1*2</f>
        <v>2.6</v>
      </c>
      <c r="F51" s="89">
        <v>0.6</v>
      </c>
      <c r="G51" s="89">
        <v>1.3</v>
      </c>
      <c r="H51" s="89">
        <f t="shared" si="2"/>
        <v>4.056</v>
      </c>
      <c r="I51" s="89"/>
      <c r="J51" s="89"/>
      <c r="K51" s="157"/>
      <c r="L51" s="157"/>
      <c r="M51" s="158"/>
      <c r="O51" s="82">
        <f t="shared" si="0"/>
        <v>0</v>
      </c>
    </row>
    <row r="52" spans="1:15" s="5" customFormat="1" ht="16.149999999999999" customHeight="1" x14ac:dyDescent="0.2">
      <c r="A52" s="30"/>
      <c r="B52" s="36"/>
      <c r="C52" s="32"/>
      <c r="D52" s="32">
        <v>2</v>
      </c>
      <c r="E52" s="89">
        <f>3.4-0.5*2</f>
        <v>2.4</v>
      </c>
      <c r="F52" s="89">
        <v>0.6</v>
      </c>
      <c r="G52" s="89">
        <v>1.3</v>
      </c>
      <c r="H52" s="89">
        <f t="shared" si="2"/>
        <v>3.7439999999999998</v>
      </c>
      <c r="I52" s="89"/>
      <c r="J52" s="89"/>
      <c r="K52" s="157"/>
      <c r="L52" s="157"/>
      <c r="M52" s="158"/>
      <c r="O52" s="82">
        <f t="shared" si="0"/>
        <v>0</v>
      </c>
    </row>
    <row r="53" spans="1:15" s="5" customFormat="1" ht="16.149999999999999" customHeight="1" x14ac:dyDescent="0.2">
      <c r="A53" s="30"/>
      <c r="B53" s="36" t="s">
        <v>462</v>
      </c>
      <c r="C53" s="32"/>
      <c r="D53" s="32">
        <v>4</v>
      </c>
      <c r="E53" s="89">
        <f>1.2+0.2</f>
        <v>1.4</v>
      </c>
      <c r="F53" s="89">
        <f>1.2+0.2</f>
        <v>1.4</v>
      </c>
      <c r="G53" s="89">
        <v>1.3</v>
      </c>
      <c r="H53" s="89">
        <f t="shared" si="2"/>
        <v>10.191999999999998</v>
      </c>
      <c r="I53" s="89"/>
      <c r="J53" s="89"/>
      <c r="K53" s="157"/>
      <c r="L53" s="157"/>
      <c r="M53" s="158"/>
      <c r="O53" s="82">
        <f t="shared" si="0"/>
        <v>0</v>
      </c>
    </row>
    <row r="54" spans="1:15" s="5" customFormat="1" ht="16.149999999999999" customHeight="1" x14ac:dyDescent="0.2">
      <c r="A54" s="30"/>
      <c r="B54" s="36"/>
      <c r="C54" s="32"/>
      <c r="D54" s="32"/>
      <c r="E54" s="89"/>
      <c r="F54" s="89"/>
      <c r="G54" s="89"/>
      <c r="H54" s="89"/>
      <c r="I54" s="89">
        <f>SUM(H51:H53)</f>
        <v>17.991999999999997</v>
      </c>
      <c r="J54" s="89"/>
      <c r="K54" s="157"/>
      <c r="L54" s="157"/>
      <c r="M54" s="158"/>
      <c r="O54" s="82">
        <f t="shared" si="0"/>
        <v>0</v>
      </c>
    </row>
    <row r="55" spans="1:15" s="5" customFormat="1" ht="16.149999999999999" customHeight="1" x14ac:dyDescent="0.2">
      <c r="A55" s="30"/>
      <c r="B55" s="36"/>
      <c r="C55" s="32"/>
      <c r="D55" s="32"/>
      <c r="E55" s="89"/>
      <c r="F55" s="89"/>
      <c r="G55" s="89"/>
      <c r="H55" s="89"/>
      <c r="I55" s="89"/>
      <c r="J55" s="89"/>
      <c r="K55" s="157"/>
      <c r="L55" s="157"/>
      <c r="M55" s="158"/>
      <c r="O55" s="82">
        <f t="shared" si="0"/>
        <v>0</v>
      </c>
    </row>
    <row r="56" spans="1:15" s="5" customFormat="1" ht="18" customHeight="1" x14ac:dyDescent="0.2">
      <c r="A56" s="30" t="s">
        <v>145</v>
      </c>
      <c r="B56" s="36" t="s">
        <v>435</v>
      </c>
      <c r="C56" s="32" t="s">
        <v>5</v>
      </c>
      <c r="D56" s="32"/>
      <c r="E56" s="89"/>
      <c r="F56" s="89"/>
      <c r="G56" s="89"/>
      <c r="H56" s="89"/>
      <c r="I56" s="89"/>
      <c r="J56" s="89"/>
      <c r="K56" s="157">
        <f>+K18+K16</f>
        <v>530</v>
      </c>
      <c r="L56" s="157">
        <v>60</v>
      </c>
      <c r="M56" s="158">
        <f>+L56*K56</f>
        <v>31800</v>
      </c>
      <c r="O56" s="82">
        <f t="shared" si="0"/>
        <v>530</v>
      </c>
    </row>
    <row r="57" spans="1:15" s="5" customFormat="1" ht="18" customHeight="1" x14ac:dyDescent="0.2">
      <c r="A57" s="30"/>
      <c r="B57" s="36"/>
      <c r="C57" s="32"/>
      <c r="D57" s="32"/>
      <c r="E57" s="89"/>
      <c r="F57" s="89"/>
      <c r="G57" s="89"/>
      <c r="H57" s="89"/>
      <c r="I57" s="89"/>
      <c r="J57" s="89"/>
      <c r="K57" s="157"/>
      <c r="L57" s="157"/>
      <c r="M57" s="158"/>
      <c r="O57" s="82">
        <f t="shared" si="0"/>
        <v>0</v>
      </c>
    </row>
    <row r="58" spans="1:15" s="104" customFormat="1" ht="18" customHeight="1" x14ac:dyDescent="0.2">
      <c r="A58" s="99" t="s">
        <v>351</v>
      </c>
      <c r="B58" s="100" t="s">
        <v>350</v>
      </c>
      <c r="C58" s="101" t="s">
        <v>5</v>
      </c>
      <c r="D58" s="101"/>
      <c r="E58" s="102"/>
      <c r="F58" s="102"/>
      <c r="G58" s="102"/>
      <c r="H58" s="102"/>
      <c r="I58" s="102"/>
      <c r="J58" s="102"/>
      <c r="K58" s="157">
        <v>30</v>
      </c>
      <c r="L58" s="157">
        <v>80</v>
      </c>
      <c r="M58" s="158">
        <f>+L58*K58</f>
        <v>2400</v>
      </c>
      <c r="O58" s="82">
        <f t="shared" si="0"/>
        <v>30</v>
      </c>
    </row>
    <row r="59" spans="1:15" ht="18" customHeight="1" x14ac:dyDescent="0.2">
      <c r="A59" s="250" t="s">
        <v>96</v>
      </c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2"/>
      <c r="M59" s="159">
        <f>SUM(M3:M58)</f>
        <v>103100</v>
      </c>
      <c r="O59" s="82">
        <f t="shared" si="0"/>
        <v>0</v>
      </c>
    </row>
    <row r="60" spans="1:15" ht="18" customHeight="1" x14ac:dyDescent="0.2">
      <c r="A60" s="24"/>
      <c r="B60" s="25" t="s">
        <v>146</v>
      </c>
      <c r="C60" s="26"/>
      <c r="D60" s="26"/>
      <c r="E60" s="88"/>
      <c r="F60" s="88"/>
      <c r="G60" s="88"/>
      <c r="H60" s="88"/>
      <c r="I60" s="88"/>
      <c r="J60" s="88"/>
      <c r="K60" s="155"/>
      <c r="L60" s="155"/>
      <c r="M60" s="156"/>
      <c r="O60" s="82">
        <f t="shared" si="0"/>
        <v>0</v>
      </c>
    </row>
    <row r="61" spans="1:15" ht="15" customHeight="1" x14ac:dyDescent="0.2">
      <c r="A61" s="30" t="s">
        <v>147</v>
      </c>
      <c r="B61" s="39" t="s">
        <v>6</v>
      </c>
      <c r="C61" s="32" t="s">
        <v>5</v>
      </c>
      <c r="D61" s="32"/>
      <c r="E61" s="89"/>
      <c r="F61" s="89"/>
      <c r="G61" s="89"/>
      <c r="H61" s="89"/>
      <c r="I61" s="89"/>
      <c r="J61" s="89">
        <f>SUM(I62:I97)</f>
        <v>39.844000000000008</v>
      </c>
      <c r="K61" s="157">
        <v>81</v>
      </c>
      <c r="L61" s="157">
        <v>600</v>
      </c>
      <c r="M61" s="158">
        <f>+L61*K61</f>
        <v>48600</v>
      </c>
      <c r="O61" s="82">
        <f t="shared" si="0"/>
        <v>41.155999999999992</v>
      </c>
    </row>
    <row r="62" spans="1:15" s="5" customFormat="1" ht="16.149999999999999" customHeight="1" x14ac:dyDescent="0.2">
      <c r="A62" s="30"/>
      <c r="B62" s="98" t="s">
        <v>464</v>
      </c>
      <c r="C62" s="32"/>
      <c r="D62" s="32"/>
      <c r="E62" s="89"/>
      <c r="F62" s="89"/>
      <c r="G62" s="89"/>
      <c r="H62" s="89"/>
      <c r="I62" s="89"/>
      <c r="K62" s="157"/>
      <c r="L62" s="157"/>
      <c r="M62" s="158"/>
      <c r="O62" s="82">
        <f t="shared" si="0"/>
        <v>0</v>
      </c>
    </row>
    <row r="63" spans="1:15" s="5" customFormat="1" ht="16.149999999999999" customHeight="1" x14ac:dyDescent="0.2">
      <c r="A63" s="30"/>
      <c r="B63" s="36" t="s">
        <v>461</v>
      </c>
      <c r="C63" s="32"/>
      <c r="D63" s="32">
        <v>2</v>
      </c>
      <c r="E63" s="89">
        <f>43.7+0.35</f>
        <v>44.050000000000004</v>
      </c>
      <c r="F63" s="89">
        <v>0.6</v>
      </c>
      <c r="G63" s="89">
        <v>0.1</v>
      </c>
      <c r="H63" s="89">
        <f>PRODUCT(D63:G63)</f>
        <v>5.2860000000000014</v>
      </c>
      <c r="I63" s="89"/>
      <c r="J63" s="89"/>
      <c r="K63" s="157"/>
      <c r="L63" s="157"/>
      <c r="M63" s="158"/>
      <c r="O63" s="82">
        <f t="shared" si="0"/>
        <v>0</v>
      </c>
    </row>
    <row r="64" spans="1:15" s="5" customFormat="1" ht="16.149999999999999" customHeight="1" x14ac:dyDescent="0.2">
      <c r="A64" s="30"/>
      <c r="B64" s="36"/>
      <c r="C64" s="32"/>
      <c r="D64" s="32">
        <v>4</v>
      </c>
      <c r="E64" s="89">
        <f>15.2-0.5*2</f>
        <v>14.2</v>
      </c>
      <c r="F64" s="89">
        <v>0.6</v>
      </c>
      <c r="G64" s="89">
        <v>0.1</v>
      </c>
      <c r="H64" s="89">
        <f t="shared" ref="H64:H96" si="4">PRODUCT(D64:G64)</f>
        <v>3.4079999999999999</v>
      </c>
      <c r="I64" s="89"/>
      <c r="J64" s="89"/>
      <c r="K64" s="157"/>
      <c r="L64" s="157"/>
      <c r="M64" s="158"/>
      <c r="O64" s="82">
        <f t="shared" si="0"/>
        <v>0</v>
      </c>
    </row>
    <row r="65" spans="1:15" s="5" customFormat="1" ht="16.149999999999999" customHeight="1" x14ac:dyDescent="0.2">
      <c r="A65" s="30"/>
      <c r="B65" s="36" t="s">
        <v>462</v>
      </c>
      <c r="C65" s="32"/>
      <c r="D65" s="32">
        <v>30</v>
      </c>
      <c r="E65" s="89">
        <f>1.2+0.2</f>
        <v>1.4</v>
      </c>
      <c r="F65" s="89">
        <f>1.2+0.2</f>
        <v>1.4</v>
      </c>
      <c r="G65" s="89">
        <v>0.1</v>
      </c>
      <c r="H65" s="89">
        <f t="shared" si="4"/>
        <v>5.88</v>
      </c>
      <c r="I65" s="89"/>
      <c r="J65" s="89"/>
      <c r="K65" s="157"/>
      <c r="L65" s="157"/>
      <c r="M65" s="158"/>
      <c r="O65" s="82">
        <f t="shared" si="0"/>
        <v>0</v>
      </c>
    </row>
    <row r="66" spans="1:15" s="5" customFormat="1" ht="16.149999999999999" customHeight="1" x14ac:dyDescent="0.2">
      <c r="A66" s="30"/>
      <c r="B66" s="36" t="s">
        <v>463</v>
      </c>
      <c r="C66" s="32"/>
      <c r="D66" s="32">
        <v>2</v>
      </c>
      <c r="E66" s="89">
        <f>43.7+0.35-8*0.25</f>
        <v>42.050000000000004</v>
      </c>
      <c r="F66" s="89">
        <v>0.4</v>
      </c>
      <c r="G66" s="89">
        <v>0.1</v>
      </c>
      <c r="H66" s="89">
        <f t="shared" si="4"/>
        <v>3.3640000000000008</v>
      </c>
      <c r="I66" s="89"/>
      <c r="J66" s="89"/>
      <c r="K66" s="157"/>
      <c r="L66" s="157"/>
      <c r="M66" s="158"/>
      <c r="O66" s="82">
        <f t="shared" si="0"/>
        <v>0</v>
      </c>
    </row>
    <row r="67" spans="1:15" s="5" customFormat="1" ht="16.149999999999999" customHeight="1" x14ac:dyDescent="0.2">
      <c r="A67" s="30"/>
      <c r="B67" s="36"/>
      <c r="C67" s="32"/>
      <c r="D67" s="32">
        <v>7</v>
      </c>
      <c r="E67" s="89">
        <f>11.25-0.25*2</f>
        <v>10.75</v>
      </c>
      <c r="F67" s="89">
        <v>0.4</v>
      </c>
      <c r="G67" s="89">
        <v>0.1</v>
      </c>
      <c r="H67" s="89">
        <f t="shared" si="4"/>
        <v>3.0100000000000002</v>
      </c>
      <c r="I67" s="89"/>
      <c r="J67" s="89"/>
      <c r="K67" s="157"/>
      <c r="L67" s="157"/>
      <c r="M67" s="158"/>
      <c r="O67" s="82">
        <f t="shared" si="0"/>
        <v>0</v>
      </c>
    </row>
    <row r="68" spans="1:15" s="5" customFormat="1" ht="16.149999999999999" customHeight="1" x14ac:dyDescent="0.2">
      <c r="A68" s="30"/>
      <c r="B68" s="36"/>
      <c r="C68" s="32"/>
      <c r="D68" s="32"/>
      <c r="E68" s="89"/>
      <c r="F68" s="89"/>
      <c r="G68" s="89"/>
      <c r="H68" s="89">
        <f t="shared" si="4"/>
        <v>0</v>
      </c>
      <c r="I68" s="89">
        <f>SUM(H63:H67)</f>
        <v>20.948000000000004</v>
      </c>
      <c r="J68" s="89"/>
      <c r="K68" s="157"/>
      <c r="L68" s="157"/>
      <c r="M68" s="158"/>
      <c r="O68" s="82">
        <f t="shared" si="0"/>
        <v>0</v>
      </c>
    </row>
    <row r="69" spans="1:15" s="5" customFormat="1" ht="16.149999999999999" customHeight="1" x14ac:dyDescent="0.2">
      <c r="A69" s="30"/>
      <c r="B69" s="98" t="s">
        <v>465</v>
      </c>
      <c r="C69" s="32"/>
      <c r="D69" s="32"/>
      <c r="E69" s="89"/>
      <c r="F69" s="89"/>
      <c r="G69" s="89"/>
      <c r="H69" s="89">
        <f t="shared" si="4"/>
        <v>0</v>
      </c>
      <c r="I69" s="89"/>
      <c r="J69" s="89"/>
      <c r="K69" s="157"/>
      <c r="L69" s="157"/>
      <c r="M69" s="158"/>
      <c r="O69" s="82">
        <f t="shared" si="0"/>
        <v>0</v>
      </c>
    </row>
    <row r="70" spans="1:15" s="5" customFormat="1" ht="16.149999999999999" customHeight="1" x14ac:dyDescent="0.2">
      <c r="A70" s="30"/>
      <c r="B70" s="36" t="s">
        <v>461</v>
      </c>
      <c r="C70" s="32"/>
      <c r="D70" s="32">
        <v>2</v>
      </c>
      <c r="E70" s="89">
        <v>10.9</v>
      </c>
      <c r="F70" s="89">
        <v>0.6</v>
      </c>
      <c r="G70" s="89">
        <v>0.1</v>
      </c>
      <c r="H70" s="89">
        <f t="shared" si="4"/>
        <v>1.3080000000000001</v>
      </c>
      <c r="I70" s="89"/>
      <c r="J70" s="89"/>
      <c r="K70" s="157"/>
      <c r="L70" s="157"/>
      <c r="M70" s="158"/>
      <c r="O70" s="82">
        <f t="shared" ref="O70:O133" si="5">K70-J70</f>
        <v>0</v>
      </c>
    </row>
    <row r="71" spans="1:15" s="5" customFormat="1" ht="16.149999999999999" customHeight="1" x14ac:dyDescent="0.2">
      <c r="A71" s="30"/>
      <c r="B71" s="36"/>
      <c r="C71" s="32"/>
      <c r="D71" s="32">
        <v>2</v>
      </c>
      <c r="E71" s="89">
        <f>9.6-0.5*2</f>
        <v>8.6</v>
      </c>
      <c r="F71" s="89">
        <v>0.6</v>
      </c>
      <c r="G71" s="89">
        <v>0.1</v>
      </c>
      <c r="H71" s="89">
        <f t="shared" si="4"/>
        <v>1.0319999999999998</v>
      </c>
      <c r="I71" s="89"/>
      <c r="J71" s="89"/>
      <c r="K71" s="157"/>
      <c r="L71" s="157"/>
      <c r="M71" s="158"/>
      <c r="O71" s="82">
        <f t="shared" si="5"/>
        <v>0</v>
      </c>
    </row>
    <row r="72" spans="1:15" s="5" customFormat="1" ht="16.149999999999999" customHeight="1" x14ac:dyDescent="0.2">
      <c r="A72" s="30"/>
      <c r="B72" s="36" t="s">
        <v>462</v>
      </c>
      <c r="C72" s="32"/>
      <c r="D72" s="32">
        <v>15</v>
      </c>
      <c r="E72" s="89">
        <f>1.2+0.2</f>
        <v>1.4</v>
      </c>
      <c r="F72" s="89">
        <f>1.2+0.2</f>
        <v>1.4</v>
      </c>
      <c r="G72" s="89">
        <v>0.1</v>
      </c>
      <c r="H72" s="89">
        <f t="shared" si="4"/>
        <v>2.94</v>
      </c>
      <c r="I72" s="89"/>
      <c r="J72" s="89"/>
      <c r="K72" s="157"/>
      <c r="L72" s="157"/>
      <c r="M72" s="158"/>
      <c r="O72" s="82">
        <f t="shared" si="5"/>
        <v>0</v>
      </c>
    </row>
    <row r="73" spans="1:15" s="5" customFormat="1" ht="16.149999999999999" customHeight="1" x14ac:dyDescent="0.2">
      <c r="A73" s="30"/>
      <c r="B73" s="36" t="s">
        <v>463</v>
      </c>
      <c r="C73" s="32"/>
      <c r="D73" s="32">
        <v>1</v>
      </c>
      <c r="E73" s="89">
        <f>4.7-0.25*2</f>
        <v>4.2</v>
      </c>
      <c r="F73" s="89">
        <v>0.4</v>
      </c>
      <c r="G73" s="89">
        <v>0.1</v>
      </c>
      <c r="H73" s="89">
        <f t="shared" si="4"/>
        <v>0.16800000000000004</v>
      </c>
      <c r="I73" s="89"/>
      <c r="J73" s="89"/>
      <c r="K73" s="157"/>
      <c r="L73" s="157"/>
      <c r="M73" s="158"/>
      <c r="O73" s="82">
        <f t="shared" si="5"/>
        <v>0</v>
      </c>
    </row>
    <row r="74" spans="1:15" s="5" customFormat="1" ht="16.149999999999999" customHeight="1" x14ac:dyDescent="0.2">
      <c r="A74" s="30"/>
      <c r="B74" s="36"/>
      <c r="C74" s="32"/>
      <c r="D74" s="32">
        <v>1</v>
      </c>
      <c r="E74" s="89">
        <v>4.3</v>
      </c>
      <c r="F74" s="89">
        <v>0.4</v>
      </c>
      <c r="G74" s="89">
        <v>0.1</v>
      </c>
      <c r="H74" s="89">
        <f t="shared" si="4"/>
        <v>0.17200000000000001</v>
      </c>
      <c r="I74" s="89"/>
      <c r="J74" s="89"/>
      <c r="K74" s="157"/>
      <c r="L74" s="157"/>
      <c r="M74" s="158"/>
      <c r="O74" s="82">
        <f t="shared" si="5"/>
        <v>0</v>
      </c>
    </row>
    <row r="75" spans="1:15" s="5" customFormat="1" ht="16.149999999999999" customHeight="1" x14ac:dyDescent="0.2">
      <c r="A75" s="30"/>
      <c r="B75" s="36"/>
      <c r="C75" s="32"/>
      <c r="D75" s="32">
        <v>1</v>
      </c>
      <c r="E75" s="89">
        <f>3.6-0.25</f>
        <v>3.35</v>
      </c>
      <c r="F75" s="89">
        <v>0.4</v>
      </c>
      <c r="G75" s="89">
        <v>0.1</v>
      </c>
      <c r="H75" s="89">
        <f t="shared" si="4"/>
        <v>0.13400000000000001</v>
      </c>
      <c r="I75" s="89"/>
      <c r="J75" s="89"/>
      <c r="K75" s="157"/>
      <c r="L75" s="157"/>
      <c r="M75" s="158"/>
      <c r="O75" s="82">
        <f t="shared" si="5"/>
        <v>0</v>
      </c>
    </row>
    <row r="76" spans="1:15" s="5" customFormat="1" ht="16.149999999999999" customHeight="1" x14ac:dyDescent="0.2">
      <c r="A76" s="30"/>
      <c r="B76" s="36"/>
      <c r="C76" s="32"/>
      <c r="D76" s="32">
        <v>1</v>
      </c>
      <c r="E76" s="89">
        <f>5.1-0.25</f>
        <v>4.8499999999999996</v>
      </c>
      <c r="F76" s="89">
        <v>0.4</v>
      </c>
      <c r="G76" s="89">
        <v>0.1</v>
      </c>
      <c r="H76" s="89">
        <f t="shared" si="4"/>
        <v>0.19400000000000001</v>
      </c>
      <c r="I76" s="89"/>
      <c r="J76" s="89"/>
      <c r="K76" s="157"/>
      <c r="L76" s="157"/>
      <c r="M76" s="158"/>
      <c r="O76" s="82">
        <f t="shared" si="5"/>
        <v>0</v>
      </c>
    </row>
    <row r="77" spans="1:15" s="5" customFormat="1" ht="16.149999999999999" customHeight="1" x14ac:dyDescent="0.2">
      <c r="A77" s="30"/>
      <c r="B77" s="36"/>
      <c r="C77" s="32"/>
      <c r="D77" s="32"/>
      <c r="E77" s="89"/>
      <c r="F77" s="89"/>
      <c r="G77" s="89"/>
      <c r="H77" s="89">
        <f t="shared" si="4"/>
        <v>0</v>
      </c>
      <c r="I77" s="89">
        <f>SUM(H70:H76)</f>
        <v>5.9479999999999995</v>
      </c>
      <c r="J77" s="89"/>
      <c r="K77" s="157"/>
      <c r="L77" s="157"/>
      <c r="M77" s="158"/>
      <c r="O77" s="82">
        <f t="shared" si="5"/>
        <v>0</v>
      </c>
    </row>
    <row r="78" spans="1:15" s="5" customFormat="1" ht="16.149999999999999" customHeight="1" x14ac:dyDescent="0.2">
      <c r="A78" s="30"/>
      <c r="B78" s="98" t="s">
        <v>530</v>
      </c>
      <c r="C78" s="32"/>
      <c r="D78" s="32"/>
      <c r="E78" s="89"/>
      <c r="F78" s="89"/>
      <c r="G78" s="89"/>
      <c r="H78" s="89">
        <f t="shared" si="4"/>
        <v>0</v>
      </c>
      <c r="I78" s="89"/>
      <c r="J78" s="89"/>
      <c r="K78" s="157"/>
      <c r="L78" s="157"/>
      <c r="M78" s="158"/>
      <c r="O78" s="82">
        <f t="shared" si="5"/>
        <v>0</v>
      </c>
    </row>
    <row r="79" spans="1:15" s="5" customFormat="1" ht="16.149999999999999" customHeight="1" x14ac:dyDescent="0.2">
      <c r="A79" s="30"/>
      <c r="B79" s="36" t="s">
        <v>461</v>
      </c>
      <c r="C79" s="32"/>
      <c r="D79" s="32">
        <v>2</v>
      </c>
      <c r="E79" s="89">
        <v>11.3</v>
      </c>
      <c r="F79" s="89">
        <v>0.6</v>
      </c>
      <c r="G79" s="89">
        <v>0.1</v>
      </c>
      <c r="H79" s="89">
        <f t="shared" si="4"/>
        <v>1.3560000000000001</v>
      </c>
      <c r="I79" s="89"/>
      <c r="J79" s="89"/>
      <c r="K79" s="157"/>
      <c r="L79" s="157"/>
      <c r="M79" s="158"/>
      <c r="O79" s="82">
        <f t="shared" si="5"/>
        <v>0</v>
      </c>
    </row>
    <row r="80" spans="1:15" s="5" customFormat="1" ht="16.149999999999999" customHeight="1" x14ac:dyDescent="0.2">
      <c r="A80" s="30"/>
      <c r="B80" s="36"/>
      <c r="C80" s="32"/>
      <c r="D80" s="32">
        <v>2</v>
      </c>
      <c r="E80" s="89">
        <f>9.75-0.5*2</f>
        <v>8.75</v>
      </c>
      <c r="F80" s="89">
        <v>0.6</v>
      </c>
      <c r="G80" s="89">
        <v>0.1</v>
      </c>
      <c r="H80" s="89">
        <f t="shared" si="4"/>
        <v>1.05</v>
      </c>
      <c r="I80" s="89"/>
      <c r="J80" s="89"/>
      <c r="K80" s="157"/>
      <c r="L80" s="157"/>
      <c r="M80" s="158"/>
      <c r="O80" s="82">
        <f t="shared" si="5"/>
        <v>0</v>
      </c>
    </row>
    <row r="81" spans="1:15" s="5" customFormat="1" ht="16.149999999999999" customHeight="1" x14ac:dyDescent="0.2">
      <c r="A81" s="30"/>
      <c r="B81" s="36" t="s">
        <v>462</v>
      </c>
      <c r="C81" s="32"/>
      <c r="D81" s="32">
        <v>18</v>
      </c>
      <c r="E81" s="89">
        <f>1.2+0.2</f>
        <v>1.4</v>
      </c>
      <c r="F81" s="89">
        <f>1.2+0.2</f>
        <v>1.4</v>
      </c>
      <c r="G81" s="89">
        <v>0.1</v>
      </c>
      <c r="H81" s="89">
        <f t="shared" si="4"/>
        <v>3.5279999999999996</v>
      </c>
      <c r="I81" s="89"/>
      <c r="J81" s="89"/>
      <c r="K81" s="157"/>
      <c r="L81" s="157"/>
      <c r="M81" s="158"/>
      <c r="O81" s="82">
        <f t="shared" si="5"/>
        <v>0</v>
      </c>
    </row>
    <row r="82" spans="1:15" s="5" customFormat="1" ht="16.149999999999999" customHeight="1" x14ac:dyDescent="0.2">
      <c r="A82" s="30"/>
      <c r="B82" s="36" t="s">
        <v>463</v>
      </c>
      <c r="C82" s="32"/>
      <c r="D82" s="32">
        <v>2</v>
      </c>
      <c r="E82" s="89">
        <f>8.6-0.25*3</f>
        <v>7.85</v>
      </c>
      <c r="F82" s="89">
        <v>0.4</v>
      </c>
      <c r="G82" s="89">
        <v>0.1</v>
      </c>
      <c r="H82" s="89">
        <f t="shared" si="4"/>
        <v>0.62800000000000011</v>
      </c>
      <c r="I82" s="89"/>
      <c r="J82" s="89"/>
      <c r="K82" s="157"/>
      <c r="L82" s="157"/>
      <c r="M82" s="158"/>
      <c r="O82" s="82">
        <f t="shared" si="5"/>
        <v>0</v>
      </c>
    </row>
    <row r="83" spans="1:15" s="5" customFormat="1" ht="16.149999999999999" customHeight="1" x14ac:dyDescent="0.2">
      <c r="A83" s="30"/>
      <c r="B83" s="36"/>
      <c r="C83" s="32"/>
      <c r="D83" s="32">
        <v>1</v>
      </c>
      <c r="E83" s="89">
        <f>9.15-0.25*5</f>
        <v>7.9</v>
      </c>
      <c r="F83" s="89">
        <v>0.4</v>
      </c>
      <c r="G83" s="89">
        <v>0.1</v>
      </c>
      <c r="H83" s="89">
        <f t="shared" si="4"/>
        <v>0.31600000000000006</v>
      </c>
      <c r="I83" s="89"/>
      <c r="J83" s="89"/>
      <c r="K83" s="157"/>
      <c r="L83" s="157"/>
      <c r="M83" s="158"/>
      <c r="O83" s="82">
        <f t="shared" si="5"/>
        <v>0</v>
      </c>
    </row>
    <row r="84" spans="1:15" s="5" customFormat="1" ht="16.149999999999999" customHeight="1" x14ac:dyDescent="0.2">
      <c r="A84" s="30"/>
      <c r="B84" s="36"/>
      <c r="C84" s="32"/>
      <c r="D84" s="32">
        <v>1</v>
      </c>
      <c r="E84" s="89">
        <f>2.8-0.25</f>
        <v>2.5499999999999998</v>
      </c>
      <c r="F84" s="89">
        <v>0.4</v>
      </c>
      <c r="G84" s="89">
        <v>0.1</v>
      </c>
      <c r="H84" s="89">
        <f t="shared" si="4"/>
        <v>0.10200000000000001</v>
      </c>
      <c r="I84" s="89"/>
      <c r="J84" s="89"/>
      <c r="K84" s="157"/>
      <c r="L84" s="157"/>
      <c r="M84" s="158"/>
      <c r="O84" s="82">
        <f t="shared" si="5"/>
        <v>0</v>
      </c>
    </row>
    <row r="85" spans="1:15" s="5" customFormat="1" ht="16.149999999999999" customHeight="1" x14ac:dyDescent="0.2">
      <c r="A85" s="30"/>
      <c r="B85" s="36"/>
      <c r="C85" s="32"/>
      <c r="D85" s="32"/>
      <c r="E85" s="89"/>
      <c r="F85" s="89"/>
      <c r="G85" s="89"/>
      <c r="H85" s="89">
        <f t="shared" si="4"/>
        <v>0</v>
      </c>
      <c r="I85" s="89">
        <f>SUM(H79:H84)</f>
        <v>6.9799999999999995</v>
      </c>
      <c r="J85" s="89"/>
      <c r="K85" s="157"/>
      <c r="L85" s="157"/>
      <c r="M85" s="158"/>
      <c r="O85" s="82">
        <f t="shared" si="5"/>
        <v>0</v>
      </c>
    </row>
    <row r="86" spans="1:15" s="5" customFormat="1" ht="15.6" customHeight="1" x14ac:dyDescent="0.2">
      <c r="A86" s="30"/>
      <c r="B86" s="98" t="s">
        <v>466</v>
      </c>
      <c r="C86" s="32"/>
      <c r="D86" s="32"/>
      <c r="E86" s="89"/>
      <c r="F86" s="89"/>
      <c r="G86" s="89"/>
      <c r="H86" s="89">
        <f t="shared" si="4"/>
        <v>0</v>
      </c>
      <c r="I86" s="89"/>
      <c r="J86" s="89"/>
      <c r="K86" s="157"/>
      <c r="L86" s="157"/>
      <c r="M86" s="158"/>
      <c r="O86" s="82">
        <f t="shared" si="5"/>
        <v>0</v>
      </c>
    </row>
    <row r="87" spans="1:15" s="5" customFormat="1" ht="16.149999999999999" customHeight="1" x14ac:dyDescent="0.2">
      <c r="A87" s="30"/>
      <c r="B87" s="36" t="s">
        <v>461</v>
      </c>
      <c r="C87" s="32"/>
      <c r="D87" s="32">
        <v>2</v>
      </c>
      <c r="E87" s="89">
        <f>8.8+0.1*2</f>
        <v>9</v>
      </c>
      <c r="F87" s="89">
        <v>0.6</v>
      </c>
      <c r="G87" s="89">
        <v>0.1</v>
      </c>
      <c r="H87" s="89">
        <f t="shared" si="4"/>
        <v>1.0799999999999998</v>
      </c>
      <c r="I87" s="89"/>
      <c r="J87" s="89"/>
      <c r="K87" s="157"/>
      <c r="L87" s="157"/>
      <c r="M87" s="158"/>
      <c r="O87" s="82">
        <f t="shared" si="5"/>
        <v>0</v>
      </c>
    </row>
    <row r="88" spans="1:15" s="5" customFormat="1" ht="16.149999999999999" customHeight="1" x14ac:dyDescent="0.2">
      <c r="A88" s="30"/>
      <c r="B88" s="36"/>
      <c r="C88" s="32"/>
      <c r="D88" s="32">
        <v>2</v>
      </c>
      <c r="E88" s="89">
        <f>9.8-0.5*2</f>
        <v>8.8000000000000007</v>
      </c>
      <c r="F88" s="89">
        <v>0.6</v>
      </c>
      <c r="G88" s="89">
        <v>0.1</v>
      </c>
      <c r="H88" s="89">
        <f t="shared" si="4"/>
        <v>1.056</v>
      </c>
      <c r="I88" s="89"/>
      <c r="J88" s="89"/>
      <c r="K88" s="157"/>
      <c r="L88" s="157"/>
      <c r="M88" s="158"/>
      <c r="O88" s="82">
        <f t="shared" si="5"/>
        <v>0</v>
      </c>
    </row>
    <row r="89" spans="1:15" s="5" customFormat="1" ht="16.149999999999999" customHeight="1" x14ac:dyDescent="0.2">
      <c r="A89" s="30"/>
      <c r="B89" s="36" t="s">
        <v>462</v>
      </c>
      <c r="C89" s="32"/>
      <c r="D89" s="32">
        <v>9</v>
      </c>
      <c r="E89" s="89">
        <f>1.2+0.2</f>
        <v>1.4</v>
      </c>
      <c r="F89" s="89">
        <f>1.2+0.2</f>
        <v>1.4</v>
      </c>
      <c r="G89" s="89">
        <v>0.1</v>
      </c>
      <c r="H89" s="89">
        <f t="shared" si="4"/>
        <v>1.7639999999999998</v>
      </c>
      <c r="I89" s="89"/>
      <c r="J89" s="89"/>
      <c r="K89" s="157"/>
      <c r="L89" s="157"/>
      <c r="M89" s="158"/>
      <c r="O89" s="82">
        <f t="shared" si="5"/>
        <v>0</v>
      </c>
    </row>
    <row r="90" spans="1:15" s="5" customFormat="1" ht="16.149999999999999" customHeight="1" x14ac:dyDescent="0.2">
      <c r="A90" s="30"/>
      <c r="B90" s="36" t="s">
        <v>463</v>
      </c>
      <c r="C90" s="32"/>
      <c r="D90" s="32">
        <v>1</v>
      </c>
      <c r="E90" s="89">
        <f>8.8-0.25*3</f>
        <v>8.0500000000000007</v>
      </c>
      <c r="F90" s="89">
        <v>0.4</v>
      </c>
      <c r="G90" s="89">
        <v>0.1</v>
      </c>
      <c r="H90" s="89">
        <f t="shared" si="4"/>
        <v>0.32200000000000006</v>
      </c>
      <c r="I90" s="89"/>
      <c r="J90" s="89"/>
      <c r="K90" s="157"/>
      <c r="L90" s="157"/>
      <c r="M90" s="158"/>
      <c r="O90" s="82">
        <f t="shared" si="5"/>
        <v>0</v>
      </c>
    </row>
    <row r="91" spans="1:15" s="5" customFormat="1" ht="16.149999999999999" customHeight="1" x14ac:dyDescent="0.2">
      <c r="A91" s="30"/>
      <c r="B91" s="36"/>
      <c r="C91" s="32"/>
      <c r="D91" s="32">
        <v>1</v>
      </c>
      <c r="E91" s="89">
        <f>9.8-0.25*3</f>
        <v>9.0500000000000007</v>
      </c>
      <c r="F91" s="89">
        <v>0.4</v>
      </c>
      <c r="G91" s="89">
        <v>0.1</v>
      </c>
      <c r="H91" s="89">
        <f t="shared" si="4"/>
        <v>0.3620000000000001</v>
      </c>
      <c r="I91" s="89"/>
      <c r="J91" s="89"/>
      <c r="K91" s="157"/>
      <c r="L91" s="157"/>
      <c r="M91" s="158"/>
      <c r="O91" s="82">
        <f t="shared" si="5"/>
        <v>0</v>
      </c>
    </row>
    <row r="92" spans="1:15" s="5" customFormat="1" ht="16.149999999999999" customHeight="1" x14ac:dyDescent="0.2">
      <c r="A92" s="30"/>
      <c r="B92" s="36"/>
      <c r="C92" s="32"/>
      <c r="D92" s="32"/>
      <c r="E92" s="89"/>
      <c r="F92" s="89"/>
      <c r="G92" s="89"/>
      <c r="H92" s="89">
        <f t="shared" si="4"/>
        <v>0</v>
      </c>
      <c r="I92" s="89">
        <f>SUM(H87:H91)</f>
        <v>4.5839999999999996</v>
      </c>
      <c r="J92" s="89"/>
      <c r="K92" s="157"/>
      <c r="L92" s="157"/>
      <c r="M92" s="158"/>
      <c r="O92" s="82">
        <f t="shared" si="5"/>
        <v>0</v>
      </c>
    </row>
    <row r="93" spans="1:15" s="5" customFormat="1" ht="16.149999999999999" customHeight="1" x14ac:dyDescent="0.2">
      <c r="A93" s="30"/>
      <c r="B93" s="98" t="s">
        <v>467</v>
      </c>
      <c r="C93" s="32"/>
      <c r="D93" s="32"/>
      <c r="E93" s="89"/>
      <c r="F93" s="89"/>
      <c r="G93" s="89"/>
      <c r="H93" s="89">
        <f t="shared" si="4"/>
        <v>0</v>
      </c>
      <c r="I93" s="89"/>
      <c r="J93" s="89"/>
      <c r="K93" s="157"/>
      <c r="L93" s="157"/>
      <c r="M93" s="158"/>
      <c r="O93" s="82">
        <f t="shared" si="5"/>
        <v>0</v>
      </c>
    </row>
    <row r="94" spans="1:15" s="5" customFormat="1" ht="16.149999999999999" customHeight="1" x14ac:dyDescent="0.2">
      <c r="A94" s="30"/>
      <c r="B94" s="36" t="s">
        <v>461</v>
      </c>
      <c r="C94" s="32"/>
      <c r="D94" s="32">
        <v>2</v>
      </c>
      <c r="E94" s="89">
        <f>2.4+0.1*2</f>
        <v>2.6</v>
      </c>
      <c r="F94" s="89">
        <v>0.6</v>
      </c>
      <c r="G94" s="89">
        <v>0.1</v>
      </c>
      <c r="H94" s="89">
        <f t="shared" si="4"/>
        <v>0.31200000000000006</v>
      </c>
      <c r="I94" s="89"/>
      <c r="J94" s="89"/>
      <c r="K94" s="157"/>
      <c r="L94" s="157"/>
      <c r="M94" s="158"/>
      <c r="O94" s="82">
        <f t="shared" si="5"/>
        <v>0</v>
      </c>
    </row>
    <row r="95" spans="1:15" s="5" customFormat="1" ht="16.149999999999999" customHeight="1" x14ac:dyDescent="0.2">
      <c r="A95" s="30"/>
      <c r="B95" s="36"/>
      <c r="C95" s="32"/>
      <c r="D95" s="32">
        <v>2</v>
      </c>
      <c r="E95" s="89">
        <f>3.4-0.5*2</f>
        <v>2.4</v>
      </c>
      <c r="F95" s="89">
        <v>0.6</v>
      </c>
      <c r="G95" s="89">
        <v>0.1</v>
      </c>
      <c r="H95" s="89">
        <f t="shared" si="4"/>
        <v>0.28799999999999998</v>
      </c>
      <c r="I95" s="89"/>
      <c r="J95" s="89"/>
      <c r="K95" s="157"/>
      <c r="L95" s="157"/>
      <c r="M95" s="158"/>
      <c r="O95" s="82">
        <f t="shared" si="5"/>
        <v>0</v>
      </c>
    </row>
    <row r="96" spans="1:15" s="5" customFormat="1" ht="16.149999999999999" customHeight="1" x14ac:dyDescent="0.2">
      <c r="A96" s="30"/>
      <c r="B96" s="36" t="s">
        <v>462</v>
      </c>
      <c r="C96" s="32"/>
      <c r="D96" s="32">
        <v>4</v>
      </c>
      <c r="E96" s="89">
        <f>1.2+0.2</f>
        <v>1.4</v>
      </c>
      <c r="F96" s="89">
        <f>1.2+0.2</f>
        <v>1.4</v>
      </c>
      <c r="G96" s="89">
        <v>0.1</v>
      </c>
      <c r="H96" s="89">
        <f t="shared" si="4"/>
        <v>0.78399999999999992</v>
      </c>
      <c r="I96" s="89"/>
      <c r="J96" s="89"/>
      <c r="K96" s="157"/>
      <c r="L96" s="157"/>
      <c r="M96" s="158"/>
      <c r="O96" s="82">
        <f t="shared" si="5"/>
        <v>0</v>
      </c>
    </row>
    <row r="97" spans="1:15" s="5" customFormat="1" ht="16.149999999999999" customHeight="1" x14ac:dyDescent="0.2">
      <c r="A97" s="30"/>
      <c r="B97" s="36"/>
      <c r="C97" s="32"/>
      <c r="D97" s="32"/>
      <c r="E97" s="89"/>
      <c r="F97" s="89"/>
      <c r="G97" s="89"/>
      <c r="H97" s="89"/>
      <c r="I97" s="89">
        <f>SUM(H94:H96)</f>
        <v>1.3839999999999999</v>
      </c>
      <c r="J97" s="89"/>
      <c r="K97" s="157"/>
      <c r="L97" s="157"/>
      <c r="M97" s="158"/>
      <c r="O97" s="82">
        <f t="shared" si="5"/>
        <v>0</v>
      </c>
    </row>
    <row r="98" spans="1:15" s="5" customFormat="1" ht="16.149999999999999" customHeight="1" x14ac:dyDescent="0.2">
      <c r="A98" s="30"/>
      <c r="B98" s="36"/>
      <c r="C98" s="32"/>
      <c r="D98" s="32"/>
      <c r="E98" s="89"/>
      <c r="F98" s="89"/>
      <c r="G98" s="89"/>
      <c r="H98" s="89"/>
      <c r="I98" s="89"/>
      <c r="J98" s="89"/>
      <c r="K98" s="157"/>
      <c r="L98" s="157"/>
      <c r="M98" s="158"/>
      <c r="O98" s="82">
        <f t="shared" si="5"/>
        <v>0</v>
      </c>
    </row>
    <row r="99" spans="1:15" ht="15" customHeight="1" x14ac:dyDescent="0.2">
      <c r="A99" s="30" t="s">
        <v>148</v>
      </c>
      <c r="B99" s="39" t="s">
        <v>77</v>
      </c>
      <c r="C99" s="32" t="s">
        <v>5</v>
      </c>
      <c r="D99" s="32"/>
      <c r="E99" s="89"/>
      <c r="F99" s="89"/>
      <c r="G99" s="89"/>
      <c r="H99" s="89"/>
      <c r="I99" s="89"/>
      <c r="J99" s="89">
        <f>SUM(I102:I122)</f>
        <v>33</v>
      </c>
      <c r="K99" s="157">
        <v>40</v>
      </c>
      <c r="L99" s="157">
        <v>700</v>
      </c>
      <c r="M99" s="158">
        <f>+L99*K99</f>
        <v>28000</v>
      </c>
      <c r="O99" s="82">
        <f t="shared" si="5"/>
        <v>7</v>
      </c>
    </row>
    <row r="100" spans="1:15" s="5" customFormat="1" ht="16.149999999999999" customHeight="1" x14ac:dyDescent="0.2">
      <c r="A100" s="30"/>
      <c r="B100" s="98" t="s">
        <v>464</v>
      </c>
      <c r="C100" s="32"/>
      <c r="D100" s="32"/>
      <c r="E100" s="89"/>
      <c r="F100" s="89"/>
      <c r="G100" s="89"/>
      <c r="H100" s="89"/>
      <c r="I100" s="89"/>
      <c r="K100" s="157"/>
      <c r="L100" s="157"/>
      <c r="M100" s="158"/>
      <c r="O100" s="82">
        <f t="shared" si="5"/>
        <v>0</v>
      </c>
    </row>
    <row r="101" spans="1:15" ht="15" customHeight="1" x14ac:dyDescent="0.2">
      <c r="A101" s="30"/>
      <c r="B101" s="39" t="s">
        <v>468</v>
      </c>
      <c r="C101" s="32"/>
      <c r="D101" s="32">
        <v>2</v>
      </c>
      <c r="E101" s="89">
        <v>1.6</v>
      </c>
      <c r="F101" s="89">
        <f>0.3*3</f>
        <v>0.89999999999999991</v>
      </c>
      <c r="G101" s="89">
        <f>0.17*3+0.5</f>
        <v>1.01</v>
      </c>
      <c r="H101" s="89">
        <f t="shared" ref="H101:H104" si="6">PRODUCT(D101:G101)</f>
        <v>2.9087999999999998</v>
      </c>
      <c r="I101" s="89"/>
      <c r="J101" s="89"/>
      <c r="K101" s="157"/>
      <c r="L101" s="157"/>
      <c r="M101" s="158"/>
      <c r="O101" s="82">
        <f t="shared" si="5"/>
        <v>0</v>
      </c>
    </row>
    <row r="102" spans="1:15" s="5" customFormat="1" ht="16.149999999999999" customHeight="1" x14ac:dyDescent="0.2">
      <c r="A102" s="30"/>
      <c r="B102" s="36" t="s">
        <v>469</v>
      </c>
      <c r="C102" s="32"/>
      <c r="D102" s="32">
        <v>4</v>
      </c>
      <c r="E102" s="89">
        <v>0.5</v>
      </c>
      <c r="F102" s="89">
        <v>0.5</v>
      </c>
      <c r="G102" s="89">
        <v>0.5</v>
      </c>
      <c r="H102" s="89">
        <f t="shared" si="6"/>
        <v>0.5</v>
      </c>
      <c r="I102" s="89"/>
      <c r="J102" s="89"/>
      <c r="K102" s="157"/>
      <c r="L102" s="157"/>
      <c r="M102" s="158"/>
      <c r="O102" s="82">
        <f t="shared" si="5"/>
        <v>0</v>
      </c>
    </row>
    <row r="103" spans="1:15" s="5" customFormat="1" ht="16.149999999999999" customHeight="1" x14ac:dyDescent="0.2">
      <c r="A103" s="30"/>
      <c r="B103" s="36" t="s">
        <v>550</v>
      </c>
      <c r="C103" s="32"/>
      <c r="D103" s="32">
        <v>1</v>
      </c>
      <c r="E103" s="89">
        <f>43.7-3.8*2</f>
        <v>36.1</v>
      </c>
      <c r="F103" s="89">
        <v>0.6</v>
      </c>
      <c r="G103" s="89">
        <f>0.17*6+0.3</f>
        <v>1.32</v>
      </c>
      <c r="H103" s="89">
        <f t="shared" si="6"/>
        <v>28.591200000000001</v>
      </c>
      <c r="I103" s="89"/>
      <c r="J103" s="89"/>
      <c r="K103" s="157"/>
      <c r="L103" s="157"/>
      <c r="M103" s="158"/>
      <c r="O103" s="82">
        <f t="shared" si="5"/>
        <v>0</v>
      </c>
    </row>
    <row r="104" spans="1:15" s="5" customFormat="1" ht="16.149999999999999" customHeight="1" x14ac:dyDescent="0.2">
      <c r="A104" s="30"/>
      <c r="B104" s="36"/>
      <c r="C104" s="32"/>
      <c r="D104" s="32"/>
      <c r="E104" s="89"/>
      <c r="F104" s="89"/>
      <c r="G104" s="89"/>
      <c r="H104" s="89">
        <f t="shared" si="6"/>
        <v>0</v>
      </c>
      <c r="I104" s="89"/>
      <c r="J104" s="89"/>
      <c r="K104" s="157"/>
      <c r="L104" s="157"/>
      <c r="M104" s="158"/>
      <c r="O104" s="82">
        <f t="shared" si="5"/>
        <v>0</v>
      </c>
    </row>
    <row r="105" spans="1:15" s="5" customFormat="1" ht="16.149999999999999" customHeight="1" x14ac:dyDescent="0.2">
      <c r="A105" s="30"/>
      <c r="B105" s="36"/>
      <c r="C105" s="32"/>
      <c r="D105" s="32"/>
      <c r="E105" s="89"/>
      <c r="F105" s="89"/>
      <c r="G105" s="89"/>
      <c r="H105" s="89"/>
      <c r="I105" s="89">
        <f>SUM(H101:H103)</f>
        <v>32</v>
      </c>
      <c r="J105" s="89"/>
      <c r="K105" s="157"/>
      <c r="L105" s="157"/>
      <c r="M105" s="158"/>
      <c r="O105" s="82">
        <f t="shared" si="5"/>
        <v>0</v>
      </c>
    </row>
    <row r="106" spans="1:15" s="5" customFormat="1" ht="16.149999999999999" customHeight="1" x14ac:dyDescent="0.2">
      <c r="A106" s="30"/>
      <c r="B106" s="98" t="s">
        <v>465</v>
      </c>
      <c r="C106" s="32"/>
      <c r="D106" s="32"/>
      <c r="E106" s="89"/>
      <c r="F106" s="89"/>
      <c r="G106" s="89"/>
      <c r="H106" s="89"/>
      <c r="I106" s="89"/>
      <c r="J106" s="89"/>
      <c r="K106" s="157"/>
      <c r="L106" s="157"/>
      <c r="M106" s="158"/>
      <c r="O106" s="82">
        <f t="shared" si="5"/>
        <v>0</v>
      </c>
    </row>
    <row r="107" spans="1:15" s="5" customFormat="1" ht="16.149999999999999" customHeight="1" x14ac:dyDescent="0.2">
      <c r="A107" s="30"/>
      <c r="B107" s="36" t="s">
        <v>469</v>
      </c>
      <c r="C107" s="32"/>
      <c r="D107" s="32">
        <v>2</v>
      </c>
      <c r="E107" s="89">
        <v>0.5</v>
      </c>
      <c r="F107" s="89">
        <v>0.5</v>
      </c>
      <c r="G107" s="89">
        <v>0.5</v>
      </c>
      <c r="H107" s="89">
        <f t="shared" ref="H107:H108" si="7">PRODUCT(D107:G107)</f>
        <v>0.25</v>
      </c>
      <c r="I107" s="89"/>
      <c r="J107" s="89"/>
      <c r="K107" s="157"/>
      <c r="L107" s="157"/>
      <c r="M107" s="158"/>
      <c r="O107" s="82">
        <f t="shared" si="5"/>
        <v>0</v>
      </c>
    </row>
    <row r="108" spans="1:15" s="5" customFormat="1" ht="16.149999999999999" customHeight="1" x14ac:dyDescent="0.2">
      <c r="A108" s="30"/>
      <c r="B108" s="36" t="s">
        <v>550</v>
      </c>
      <c r="C108" s="32"/>
      <c r="D108" s="32">
        <v>2</v>
      </c>
      <c r="E108" s="89">
        <f>2.6+1.2-0.3</f>
        <v>3.5</v>
      </c>
      <c r="F108" s="89">
        <v>0.6</v>
      </c>
      <c r="G108" s="89">
        <f>0.17*6+0.3</f>
        <v>1.32</v>
      </c>
      <c r="H108" s="89">
        <f t="shared" si="7"/>
        <v>5.5440000000000005</v>
      </c>
      <c r="I108" s="89"/>
      <c r="J108" s="89"/>
      <c r="K108" s="157"/>
      <c r="L108" s="157"/>
      <c r="M108" s="158"/>
      <c r="O108" s="82">
        <f t="shared" si="5"/>
        <v>0</v>
      </c>
    </row>
    <row r="109" spans="1:15" s="5" customFormat="1" ht="16.149999999999999" customHeight="1" x14ac:dyDescent="0.2">
      <c r="A109" s="30"/>
      <c r="B109" s="36"/>
      <c r="C109" s="32"/>
      <c r="D109" s="32"/>
      <c r="E109" s="89"/>
      <c r="F109" s="89"/>
      <c r="G109" s="89"/>
      <c r="H109" s="89"/>
      <c r="I109" s="89">
        <f>SUM(H107:H107)</f>
        <v>0.25</v>
      </c>
      <c r="J109" s="89"/>
      <c r="K109" s="157"/>
      <c r="L109" s="157"/>
      <c r="M109" s="158"/>
      <c r="O109" s="82">
        <f t="shared" si="5"/>
        <v>0</v>
      </c>
    </row>
    <row r="110" spans="1:15" s="5" customFormat="1" ht="16.149999999999999" customHeight="1" x14ac:dyDescent="0.2">
      <c r="A110" s="30"/>
      <c r="B110" s="98" t="s">
        <v>530</v>
      </c>
      <c r="C110" s="32"/>
      <c r="D110" s="32"/>
      <c r="E110" s="89"/>
      <c r="F110" s="89"/>
      <c r="G110" s="89"/>
      <c r="H110" s="89"/>
      <c r="I110" s="89"/>
      <c r="J110" s="89"/>
      <c r="K110" s="157"/>
      <c r="L110" s="157"/>
      <c r="M110" s="158"/>
      <c r="O110" s="82">
        <f t="shared" si="5"/>
        <v>0</v>
      </c>
    </row>
    <row r="111" spans="1:15" s="5" customFormat="1" ht="16.149999999999999" customHeight="1" x14ac:dyDescent="0.2">
      <c r="A111" s="30"/>
      <c r="B111" s="36" t="s">
        <v>469</v>
      </c>
      <c r="C111" s="32"/>
      <c r="D111" s="32">
        <v>2</v>
      </c>
      <c r="E111" s="89">
        <v>0.5</v>
      </c>
      <c r="F111" s="89">
        <v>0.5</v>
      </c>
      <c r="G111" s="89">
        <v>0.5</v>
      </c>
      <c r="H111" s="89">
        <f t="shared" ref="H111:H112" si="8">PRODUCT(D111:G111)</f>
        <v>0.25</v>
      </c>
      <c r="I111" s="89"/>
      <c r="J111" s="89"/>
      <c r="K111" s="157"/>
      <c r="L111" s="157"/>
      <c r="M111" s="158"/>
      <c r="O111" s="82">
        <f t="shared" si="5"/>
        <v>0</v>
      </c>
    </row>
    <row r="112" spans="1:15" s="5" customFormat="1" ht="16.149999999999999" customHeight="1" x14ac:dyDescent="0.2">
      <c r="A112" s="30"/>
      <c r="B112" s="36" t="s">
        <v>550</v>
      </c>
      <c r="C112" s="32"/>
      <c r="D112" s="32">
        <v>1</v>
      </c>
      <c r="E112" s="89">
        <f>2.9+1.2</f>
        <v>4.0999999999999996</v>
      </c>
      <c r="F112" s="89">
        <v>0.6</v>
      </c>
      <c r="G112" s="89">
        <f>0.17*6+0.3</f>
        <v>1.32</v>
      </c>
      <c r="H112" s="89">
        <f t="shared" si="8"/>
        <v>3.2471999999999994</v>
      </c>
      <c r="I112" s="89"/>
      <c r="J112" s="89"/>
      <c r="K112" s="157"/>
      <c r="L112" s="157"/>
      <c r="M112" s="158"/>
      <c r="O112" s="82">
        <f t="shared" si="5"/>
        <v>0</v>
      </c>
    </row>
    <row r="113" spans="1:15" s="5" customFormat="1" ht="16.149999999999999" customHeight="1" x14ac:dyDescent="0.2">
      <c r="A113" s="30"/>
      <c r="B113" s="36"/>
      <c r="C113" s="32"/>
      <c r="D113" s="32"/>
      <c r="E113" s="89"/>
      <c r="F113" s="89"/>
      <c r="G113" s="89"/>
      <c r="H113" s="89"/>
      <c r="I113" s="89">
        <f>SUM(H111:H111)</f>
        <v>0.25</v>
      </c>
      <c r="J113" s="89"/>
      <c r="K113" s="157"/>
      <c r="L113" s="157"/>
      <c r="M113" s="158"/>
      <c r="O113" s="82">
        <f t="shared" si="5"/>
        <v>0</v>
      </c>
    </row>
    <row r="114" spans="1:15" s="5" customFormat="1" ht="16.149999999999999" customHeight="1" x14ac:dyDescent="0.2">
      <c r="A114" s="30"/>
      <c r="B114" s="36"/>
      <c r="C114" s="32"/>
      <c r="D114" s="32"/>
      <c r="E114" s="89"/>
      <c r="F114" s="89"/>
      <c r="G114" s="89"/>
      <c r="H114" s="89"/>
      <c r="I114" s="89"/>
      <c r="J114" s="89"/>
      <c r="K114" s="157"/>
      <c r="L114" s="157"/>
      <c r="M114" s="158"/>
      <c r="O114" s="82">
        <f t="shared" si="5"/>
        <v>0</v>
      </c>
    </row>
    <row r="115" spans="1:15" s="5" customFormat="1" ht="16.149999999999999" customHeight="1" x14ac:dyDescent="0.2">
      <c r="A115" s="30"/>
      <c r="B115" s="98" t="s">
        <v>466</v>
      </c>
      <c r="C115" s="32"/>
      <c r="D115" s="32"/>
      <c r="E115" s="89"/>
      <c r="F115" s="89"/>
      <c r="G115" s="89"/>
      <c r="H115" s="89"/>
      <c r="I115" s="89"/>
      <c r="J115" s="89"/>
      <c r="K115" s="157"/>
      <c r="L115" s="157"/>
      <c r="M115" s="158"/>
      <c r="O115" s="82">
        <f t="shared" si="5"/>
        <v>0</v>
      </c>
    </row>
    <row r="116" spans="1:15" s="5" customFormat="1" ht="16.149999999999999" customHeight="1" x14ac:dyDescent="0.2">
      <c r="A116" s="30"/>
      <c r="B116" s="36" t="s">
        <v>469</v>
      </c>
      <c r="C116" s="32"/>
      <c r="D116" s="32">
        <v>2</v>
      </c>
      <c r="E116" s="89">
        <v>0.5</v>
      </c>
      <c r="F116" s="89">
        <v>0.5</v>
      </c>
      <c r="G116" s="89">
        <v>0.5</v>
      </c>
      <c r="H116" s="89">
        <f t="shared" ref="H116" si="9">PRODUCT(D116:G116)</f>
        <v>0.25</v>
      </c>
      <c r="I116" s="89"/>
      <c r="J116" s="89"/>
      <c r="K116" s="157"/>
      <c r="L116" s="157"/>
      <c r="M116" s="158"/>
      <c r="O116" s="82">
        <f t="shared" si="5"/>
        <v>0</v>
      </c>
    </row>
    <row r="117" spans="1:15" s="5" customFormat="1" ht="16.149999999999999" customHeight="1" x14ac:dyDescent="0.2">
      <c r="A117" s="30"/>
      <c r="B117" s="36"/>
      <c r="C117" s="32"/>
      <c r="D117" s="32"/>
      <c r="E117" s="89"/>
      <c r="F117" s="89"/>
      <c r="G117" s="89"/>
      <c r="H117" s="89"/>
      <c r="I117" s="89">
        <f>SUM(H116:H116)</f>
        <v>0.25</v>
      </c>
      <c r="J117" s="89"/>
      <c r="K117" s="157"/>
      <c r="L117" s="157"/>
      <c r="M117" s="158"/>
      <c r="O117" s="82">
        <f t="shared" si="5"/>
        <v>0</v>
      </c>
    </row>
    <row r="118" spans="1:15" s="5" customFormat="1" ht="16.149999999999999" customHeight="1" x14ac:dyDescent="0.2">
      <c r="A118" s="30"/>
      <c r="B118" s="98" t="s">
        <v>467</v>
      </c>
      <c r="C118" s="32"/>
      <c r="D118" s="32"/>
      <c r="E118" s="89"/>
      <c r="F118" s="89"/>
      <c r="G118" s="89"/>
      <c r="H118" s="89"/>
      <c r="I118" s="89"/>
      <c r="J118" s="89"/>
      <c r="K118" s="157"/>
      <c r="L118" s="157"/>
      <c r="M118" s="158"/>
      <c r="O118" s="82">
        <f t="shared" si="5"/>
        <v>0</v>
      </c>
    </row>
    <row r="119" spans="1:15" s="5" customFormat="1" ht="16.149999999999999" customHeight="1" x14ac:dyDescent="0.2">
      <c r="A119" s="30"/>
      <c r="B119" s="36" t="s">
        <v>469</v>
      </c>
      <c r="C119" s="32"/>
      <c r="D119" s="32">
        <v>2</v>
      </c>
      <c r="E119" s="89">
        <v>0.5</v>
      </c>
      <c r="F119" s="89">
        <v>0.5</v>
      </c>
      <c r="G119" s="89">
        <v>0.5</v>
      </c>
      <c r="H119" s="89">
        <f t="shared" ref="H119:H120" si="10">PRODUCT(D119:G119)</f>
        <v>0.25</v>
      </c>
      <c r="I119" s="89"/>
      <c r="J119" s="89"/>
      <c r="K119" s="157"/>
      <c r="L119" s="157"/>
      <c r="M119" s="158"/>
      <c r="O119" s="82">
        <f t="shared" si="5"/>
        <v>0</v>
      </c>
    </row>
    <row r="120" spans="1:15" s="5" customFormat="1" ht="16.149999999999999" customHeight="1" x14ac:dyDescent="0.2">
      <c r="A120" s="30"/>
      <c r="B120" s="36" t="s">
        <v>550</v>
      </c>
      <c r="C120" s="32"/>
      <c r="D120" s="32">
        <v>1</v>
      </c>
      <c r="E120" s="89">
        <f>43.7-3.8*2</f>
        <v>36.1</v>
      </c>
      <c r="F120" s="89">
        <v>0.6</v>
      </c>
      <c r="G120" s="89">
        <f>0.17*6+0.3</f>
        <v>1.32</v>
      </c>
      <c r="H120" s="89">
        <f t="shared" si="10"/>
        <v>28.591200000000001</v>
      </c>
      <c r="I120" s="89"/>
      <c r="J120" s="89"/>
      <c r="K120" s="157"/>
      <c r="L120" s="157"/>
      <c r="M120" s="158"/>
      <c r="O120" s="82">
        <f t="shared" si="5"/>
        <v>0</v>
      </c>
    </row>
    <row r="121" spans="1:15" s="5" customFormat="1" ht="16.149999999999999" customHeight="1" x14ac:dyDescent="0.2">
      <c r="A121" s="30"/>
      <c r="B121" s="36"/>
      <c r="C121" s="32"/>
      <c r="D121" s="32"/>
      <c r="E121" s="89"/>
      <c r="F121" s="89"/>
      <c r="G121" s="89"/>
      <c r="H121" s="89"/>
      <c r="I121" s="89">
        <f>SUM(H119:H119)</f>
        <v>0.25</v>
      </c>
      <c r="J121" s="89"/>
      <c r="K121" s="157"/>
      <c r="L121" s="157"/>
      <c r="M121" s="158"/>
      <c r="O121" s="82">
        <f t="shared" si="5"/>
        <v>0</v>
      </c>
    </row>
    <row r="122" spans="1:15" ht="15" customHeight="1" x14ac:dyDescent="0.2">
      <c r="A122" s="30"/>
      <c r="B122" s="39"/>
      <c r="C122" s="32"/>
      <c r="D122" s="32"/>
      <c r="E122" s="89"/>
      <c r="F122" s="89"/>
      <c r="G122" s="89"/>
      <c r="H122" s="89"/>
      <c r="I122" s="89"/>
      <c r="J122" s="89"/>
      <c r="K122" s="157"/>
      <c r="L122" s="157"/>
      <c r="M122" s="158"/>
      <c r="O122" s="82">
        <f t="shared" si="5"/>
        <v>0</v>
      </c>
    </row>
    <row r="123" spans="1:15" ht="15" customHeight="1" x14ac:dyDescent="0.2">
      <c r="A123" s="30"/>
      <c r="B123" s="39"/>
      <c r="C123" s="32"/>
      <c r="D123" s="32"/>
      <c r="E123" s="89"/>
      <c r="F123" s="89"/>
      <c r="G123" s="89"/>
      <c r="H123" s="89"/>
      <c r="I123" s="89"/>
      <c r="J123" s="89"/>
      <c r="K123" s="157"/>
      <c r="L123" s="157"/>
      <c r="M123" s="158"/>
      <c r="O123" s="82">
        <f t="shared" si="5"/>
        <v>0</v>
      </c>
    </row>
    <row r="124" spans="1:15" ht="15" customHeight="1" x14ac:dyDescent="0.2">
      <c r="A124" s="30"/>
      <c r="B124" s="39"/>
      <c r="C124" s="32"/>
      <c r="D124" s="32"/>
      <c r="E124" s="89"/>
      <c r="F124" s="89"/>
      <c r="G124" s="89"/>
      <c r="H124" s="89"/>
      <c r="I124" s="89"/>
      <c r="J124" s="89"/>
      <c r="K124" s="157"/>
      <c r="L124" s="157"/>
      <c r="M124" s="158"/>
      <c r="O124" s="82">
        <f t="shared" si="5"/>
        <v>0</v>
      </c>
    </row>
    <row r="125" spans="1:15" ht="15" customHeight="1" x14ac:dyDescent="0.2">
      <c r="A125" s="30"/>
      <c r="B125" s="39"/>
      <c r="C125" s="32"/>
      <c r="D125" s="32"/>
      <c r="E125" s="89"/>
      <c r="F125" s="89"/>
      <c r="G125" s="89"/>
      <c r="H125" s="89"/>
      <c r="I125" s="89"/>
      <c r="J125" s="89"/>
      <c r="K125" s="157"/>
      <c r="L125" s="157"/>
      <c r="M125" s="158"/>
      <c r="O125" s="82">
        <f t="shared" si="5"/>
        <v>0</v>
      </c>
    </row>
    <row r="126" spans="1:15" ht="15" customHeight="1" x14ac:dyDescent="0.2">
      <c r="A126" s="30"/>
      <c r="B126" s="39"/>
      <c r="C126" s="32"/>
      <c r="D126" s="32"/>
      <c r="E126" s="89"/>
      <c r="F126" s="89"/>
      <c r="G126" s="89"/>
      <c r="H126" s="89"/>
      <c r="I126" s="89"/>
      <c r="J126" s="89"/>
      <c r="K126" s="157"/>
      <c r="L126" s="157"/>
      <c r="M126" s="158"/>
      <c r="O126" s="82">
        <f t="shared" si="5"/>
        <v>0</v>
      </c>
    </row>
    <row r="127" spans="1:15" ht="15" customHeight="1" x14ac:dyDescent="0.2">
      <c r="A127" s="30" t="s">
        <v>149</v>
      </c>
      <c r="B127" s="39" t="s">
        <v>35</v>
      </c>
      <c r="C127" s="32" t="s">
        <v>5</v>
      </c>
      <c r="D127" s="32"/>
      <c r="E127" s="89"/>
      <c r="F127" s="89"/>
      <c r="G127" s="89"/>
      <c r="H127" s="89"/>
      <c r="I127" s="89"/>
      <c r="J127" s="89">
        <f>SUM(I128:I147)</f>
        <v>122.4944</v>
      </c>
      <c r="K127" s="157">
        <v>140</v>
      </c>
      <c r="L127" s="157">
        <v>220</v>
      </c>
      <c r="M127" s="158">
        <f>+L127*K127</f>
        <v>30800</v>
      </c>
      <c r="O127" s="82">
        <f t="shared" si="5"/>
        <v>17.505600000000001</v>
      </c>
    </row>
    <row r="128" spans="1:15" s="5" customFormat="1" ht="16.149999999999999" customHeight="1" x14ac:dyDescent="0.2">
      <c r="A128" s="30"/>
      <c r="B128" s="98" t="s">
        <v>464</v>
      </c>
      <c r="C128" s="32"/>
      <c r="D128" s="32"/>
      <c r="E128" s="89"/>
      <c r="F128" s="89"/>
      <c r="G128" s="89"/>
      <c r="H128" s="89">
        <f t="shared" ref="H128:H146" si="11">PRODUCT(D128:G128)</f>
        <v>0</v>
      </c>
      <c r="I128" s="89"/>
      <c r="K128" s="157"/>
      <c r="L128" s="157"/>
      <c r="M128" s="158"/>
      <c r="O128" s="82">
        <f t="shared" si="5"/>
        <v>0</v>
      </c>
    </row>
    <row r="129" spans="1:15" s="5" customFormat="1" ht="16.149999999999999" customHeight="1" x14ac:dyDescent="0.2">
      <c r="A129" s="30"/>
      <c r="B129" s="36" t="s">
        <v>461</v>
      </c>
      <c r="C129" s="32"/>
      <c r="D129" s="32">
        <v>2</v>
      </c>
      <c r="E129" s="89">
        <f>43.7+0.35</f>
        <v>44.050000000000004</v>
      </c>
      <c r="F129" s="89">
        <v>0.4</v>
      </c>
      <c r="G129" s="89">
        <f>1.3+0.17*3-0.1-0.35</f>
        <v>1.3599999999999999</v>
      </c>
      <c r="H129" s="89">
        <f t="shared" si="11"/>
        <v>47.926400000000001</v>
      </c>
      <c r="I129" s="89"/>
      <c r="J129" s="89"/>
      <c r="K129" s="157"/>
      <c r="L129" s="157"/>
      <c r="M129" s="158"/>
      <c r="O129" s="82">
        <f t="shared" si="5"/>
        <v>0</v>
      </c>
    </row>
    <row r="130" spans="1:15" s="5" customFormat="1" ht="16.149999999999999" customHeight="1" x14ac:dyDescent="0.2">
      <c r="A130" s="30"/>
      <c r="B130" s="36"/>
      <c r="C130" s="32"/>
      <c r="D130" s="32">
        <v>4</v>
      </c>
      <c r="E130" s="89">
        <f>15.2-0.4*2</f>
        <v>14.399999999999999</v>
      </c>
      <c r="F130" s="89">
        <v>0.4</v>
      </c>
      <c r="G130" s="89">
        <v>1.3</v>
      </c>
      <c r="H130" s="89">
        <f t="shared" si="11"/>
        <v>29.951999999999998</v>
      </c>
      <c r="I130" s="89"/>
      <c r="J130" s="89"/>
      <c r="K130" s="157"/>
      <c r="L130" s="157"/>
      <c r="M130" s="158"/>
      <c r="O130" s="82">
        <f t="shared" si="5"/>
        <v>0</v>
      </c>
    </row>
    <row r="131" spans="1:15" s="5" customFormat="1" ht="16.149999999999999" customHeight="1" x14ac:dyDescent="0.2">
      <c r="A131" s="30"/>
      <c r="B131" s="36"/>
      <c r="C131" s="32"/>
      <c r="D131" s="32"/>
      <c r="E131" s="89"/>
      <c r="F131" s="89"/>
      <c r="G131" s="89"/>
      <c r="H131" s="89">
        <f t="shared" si="11"/>
        <v>0</v>
      </c>
      <c r="I131" s="89">
        <f>SUM(H129:H130)</f>
        <v>77.878399999999999</v>
      </c>
      <c r="J131" s="89"/>
      <c r="K131" s="157"/>
      <c r="L131" s="157"/>
      <c r="M131" s="158"/>
      <c r="O131" s="82">
        <f t="shared" si="5"/>
        <v>0</v>
      </c>
    </row>
    <row r="132" spans="1:15" s="5" customFormat="1" ht="16.149999999999999" customHeight="1" x14ac:dyDescent="0.2">
      <c r="A132" s="30"/>
      <c r="B132" s="98" t="s">
        <v>465</v>
      </c>
      <c r="C132" s="32"/>
      <c r="D132" s="32"/>
      <c r="E132" s="89"/>
      <c r="F132" s="89"/>
      <c r="G132" s="89"/>
      <c r="H132" s="89">
        <f t="shared" si="11"/>
        <v>0</v>
      </c>
      <c r="I132" s="89"/>
      <c r="J132" s="89"/>
      <c r="K132" s="157"/>
      <c r="L132" s="157"/>
      <c r="M132" s="158"/>
      <c r="O132" s="82">
        <f t="shared" si="5"/>
        <v>0</v>
      </c>
    </row>
    <row r="133" spans="1:15" s="5" customFormat="1" ht="16.149999999999999" customHeight="1" x14ac:dyDescent="0.2">
      <c r="A133" s="30"/>
      <c r="B133" s="36" t="s">
        <v>461</v>
      </c>
      <c r="C133" s="32"/>
      <c r="D133" s="32">
        <v>2</v>
      </c>
      <c r="E133" s="89">
        <v>10.9</v>
      </c>
      <c r="F133" s="89">
        <v>0.4</v>
      </c>
      <c r="G133" s="89">
        <v>1.3</v>
      </c>
      <c r="H133" s="89">
        <f t="shared" si="11"/>
        <v>11.336000000000002</v>
      </c>
      <c r="I133" s="89"/>
      <c r="J133" s="89"/>
      <c r="K133" s="157"/>
      <c r="L133" s="157"/>
      <c r="M133" s="158"/>
      <c r="O133" s="82">
        <f t="shared" si="5"/>
        <v>0</v>
      </c>
    </row>
    <row r="134" spans="1:15" s="5" customFormat="1" ht="16.149999999999999" customHeight="1" x14ac:dyDescent="0.2">
      <c r="A134" s="30"/>
      <c r="B134" s="36"/>
      <c r="C134" s="32"/>
      <c r="D134" s="32">
        <v>2</v>
      </c>
      <c r="E134" s="89">
        <f>9.6-0.4*2</f>
        <v>8.7999999999999989</v>
      </c>
      <c r="F134" s="89">
        <v>0.4</v>
      </c>
      <c r="G134" s="89">
        <v>1.3</v>
      </c>
      <c r="H134" s="89">
        <f t="shared" si="11"/>
        <v>9.1519999999999992</v>
      </c>
      <c r="I134" s="89"/>
      <c r="J134" s="89"/>
      <c r="K134" s="157"/>
      <c r="L134" s="157"/>
      <c r="M134" s="158"/>
      <c r="O134" s="82">
        <f t="shared" ref="O134:O197" si="12">K134-J134</f>
        <v>0</v>
      </c>
    </row>
    <row r="135" spans="1:15" s="5" customFormat="1" ht="16.149999999999999" customHeight="1" x14ac:dyDescent="0.2">
      <c r="A135" s="30"/>
      <c r="B135" s="36"/>
      <c r="C135" s="32"/>
      <c r="D135" s="32"/>
      <c r="E135" s="89"/>
      <c r="F135" s="89"/>
      <c r="G135" s="89"/>
      <c r="H135" s="89">
        <f t="shared" si="11"/>
        <v>0</v>
      </c>
      <c r="I135" s="89">
        <f>SUM(H133:H134)</f>
        <v>20.488</v>
      </c>
      <c r="J135" s="89"/>
      <c r="K135" s="157"/>
      <c r="L135" s="157"/>
      <c r="M135" s="158"/>
      <c r="O135" s="82">
        <f t="shared" si="12"/>
        <v>0</v>
      </c>
    </row>
    <row r="136" spans="1:15" s="5" customFormat="1" ht="16.149999999999999" customHeight="1" x14ac:dyDescent="0.2">
      <c r="A136" s="30"/>
      <c r="B136" s="98" t="s">
        <v>530</v>
      </c>
      <c r="C136" s="32"/>
      <c r="D136" s="32"/>
      <c r="E136" s="89"/>
      <c r="F136" s="89"/>
      <c r="G136" s="89"/>
      <c r="H136" s="89">
        <f t="shared" si="11"/>
        <v>0</v>
      </c>
      <c r="I136" s="89"/>
      <c r="J136" s="89"/>
      <c r="K136" s="157"/>
      <c r="L136" s="157"/>
      <c r="M136" s="158"/>
      <c r="O136" s="82">
        <f t="shared" si="12"/>
        <v>0</v>
      </c>
    </row>
    <row r="137" spans="1:15" s="5" customFormat="1" ht="16.149999999999999" customHeight="1" x14ac:dyDescent="0.2">
      <c r="A137" s="30"/>
      <c r="B137" s="36" t="s">
        <v>461</v>
      </c>
      <c r="C137" s="32"/>
      <c r="D137" s="32">
        <v>2</v>
      </c>
      <c r="E137" s="89">
        <v>11.3</v>
      </c>
      <c r="F137" s="89">
        <v>0.4</v>
      </c>
      <c r="G137" s="89">
        <v>1.3</v>
      </c>
      <c r="H137" s="89">
        <f t="shared" si="11"/>
        <v>11.752000000000002</v>
      </c>
      <c r="I137" s="89"/>
      <c r="J137" s="89"/>
      <c r="K137" s="157"/>
      <c r="L137" s="157"/>
      <c r="M137" s="158"/>
      <c r="O137" s="82">
        <f t="shared" si="12"/>
        <v>0</v>
      </c>
    </row>
    <row r="138" spans="1:15" s="5" customFormat="1" ht="16.149999999999999" customHeight="1" x14ac:dyDescent="0.2">
      <c r="A138" s="30"/>
      <c r="B138" s="36"/>
      <c r="C138" s="32"/>
      <c r="D138" s="32">
        <v>2</v>
      </c>
      <c r="E138" s="89">
        <f>9.75-0.4*2</f>
        <v>8.9499999999999993</v>
      </c>
      <c r="F138" s="89">
        <v>0.4</v>
      </c>
      <c r="G138" s="89">
        <v>1.3</v>
      </c>
      <c r="H138" s="89">
        <f t="shared" si="11"/>
        <v>9.3079999999999998</v>
      </c>
      <c r="I138" s="89"/>
      <c r="J138" s="89"/>
      <c r="K138" s="157"/>
      <c r="L138" s="157"/>
      <c r="M138" s="158"/>
      <c r="O138" s="82">
        <f t="shared" si="12"/>
        <v>0</v>
      </c>
    </row>
    <row r="139" spans="1:15" s="5" customFormat="1" ht="16.149999999999999" customHeight="1" x14ac:dyDescent="0.2">
      <c r="A139" s="30"/>
      <c r="B139" s="36"/>
      <c r="C139" s="32"/>
      <c r="D139" s="32"/>
      <c r="E139" s="89"/>
      <c r="F139" s="89"/>
      <c r="G139" s="89"/>
      <c r="H139" s="89"/>
      <c r="I139" s="89"/>
      <c r="J139" s="89"/>
      <c r="K139" s="157"/>
      <c r="L139" s="157"/>
      <c r="M139" s="158"/>
      <c r="O139" s="82">
        <f t="shared" si="12"/>
        <v>0</v>
      </c>
    </row>
    <row r="140" spans="1:15" s="5" customFormat="1" ht="16.149999999999999" customHeight="1" x14ac:dyDescent="0.2">
      <c r="A140" s="30"/>
      <c r="B140" s="98" t="s">
        <v>466</v>
      </c>
      <c r="C140" s="32"/>
      <c r="D140" s="32"/>
      <c r="E140" s="89"/>
      <c r="F140" s="89"/>
      <c r="G140" s="89"/>
      <c r="H140" s="89">
        <f t="shared" si="11"/>
        <v>0</v>
      </c>
      <c r="I140" s="89"/>
      <c r="J140" s="89"/>
      <c r="K140" s="157"/>
      <c r="L140" s="157"/>
      <c r="M140" s="158"/>
      <c r="O140" s="82">
        <f t="shared" si="12"/>
        <v>0</v>
      </c>
    </row>
    <row r="141" spans="1:15" s="5" customFormat="1" ht="16.149999999999999" customHeight="1" x14ac:dyDescent="0.2">
      <c r="A141" s="30"/>
      <c r="B141" s="36" t="s">
        <v>461</v>
      </c>
      <c r="C141" s="32"/>
      <c r="D141" s="32">
        <v>2</v>
      </c>
      <c r="E141" s="89">
        <f>8.8+0.1*2</f>
        <v>9</v>
      </c>
      <c r="F141" s="89">
        <v>0.4</v>
      </c>
      <c r="G141" s="89">
        <v>1.3</v>
      </c>
      <c r="H141" s="89">
        <f t="shared" si="11"/>
        <v>9.3600000000000012</v>
      </c>
      <c r="I141" s="89"/>
      <c r="J141" s="89"/>
      <c r="K141" s="157"/>
      <c r="L141" s="157"/>
      <c r="M141" s="158"/>
      <c r="O141" s="82">
        <f t="shared" si="12"/>
        <v>0</v>
      </c>
    </row>
    <row r="142" spans="1:15" s="5" customFormat="1" ht="16.149999999999999" customHeight="1" x14ac:dyDescent="0.2">
      <c r="A142" s="30"/>
      <c r="B142" s="36"/>
      <c r="C142" s="32"/>
      <c r="D142" s="32">
        <v>2</v>
      </c>
      <c r="E142" s="89">
        <f>9.8-0.4*2</f>
        <v>9</v>
      </c>
      <c r="F142" s="89">
        <v>0.4</v>
      </c>
      <c r="G142" s="89">
        <v>1.3</v>
      </c>
      <c r="H142" s="89">
        <f t="shared" si="11"/>
        <v>9.3600000000000012</v>
      </c>
      <c r="I142" s="89"/>
      <c r="J142" s="89"/>
      <c r="K142" s="157"/>
      <c r="L142" s="157"/>
      <c r="M142" s="158"/>
      <c r="O142" s="82">
        <f t="shared" si="12"/>
        <v>0</v>
      </c>
    </row>
    <row r="143" spans="1:15" s="5" customFormat="1" ht="16.149999999999999" customHeight="1" x14ac:dyDescent="0.2">
      <c r="A143" s="30"/>
      <c r="B143" s="36"/>
      <c r="C143" s="32"/>
      <c r="D143" s="32"/>
      <c r="E143" s="89"/>
      <c r="F143" s="89"/>
      <c r="G143" s="89"/>
      <c r="H143" s="89">
        <f t="shared" si="11"/>
        <v>0</v>
      </c>
      <c r="I143" s="89">
        <f>SUM(H141:H142)</f>
        <v>18.720000000000002</v>
      </c>
      <c r="J143" s="89"/>
      <c r="K143" s="157"/>
      <c r="L143" s="157"/>
      <c r="M143" s="158"/>
      <c r="O143" s="82">
        <f t="shared" si="12"/>
        <v>0</v>
      </c>
    </row>
    <row r="144" spans="1:15" s="5" customFormat="1" ht="16.149999999999999" customHeight="1" x14ac:dyDescent="0.2">
      <c r="A144" s="30"/>
      <c r="B144" s="98" t="s">
        <v>467</v>
      </c>
      <c r="C144" s="32"/>
      <c r="D144" s="32"/>
      <c r="E144" s="89"/>
      <c r="F144" s="89"/>
      <c r="G144" s="89"/>
      <c r="H144" s="89">
        <f t="shared" si="11"/>
        <v>0</v>
      </c>
      <c r="I144" s="89"/>
      <c r="J144" s="89"/>
      <c r="K144" s="157"/>
      <c r="L144" s="157"/>
      <c r="M144" s="158"/>
      <c r="O144" s="82">
        <f t="shared" si="12"/>
        <v>0</v>
      </c>
    </row>
    <row r="145" spans="1:15" s="5" customFormat="1" ht="16.149999999999999" customHeight="1" x14ac:dyDescent="0.2">
      <c r="A145" s="30"/>
      <c r="B145" s="36" t="s">
        <v>461</v>
      </c>
      <c r="C145" s="32"/>
      <c r="D145" s="32">
        <v>2</v>
      </c>
      <c r="E145" s="89">
        <f>2.4+0.1*2</f>
        <v>2.6</v>
      </c>
      <c r="F145" s="89">
        <v>0.4</v>
      </c>
      <c r="G145" s="89">
        <v>1.3</v>
      </c>
      <c r="H145" s="89">
        <f t="shared" si="11"/>
        <v>2.7040000000000002</v>
      </c>
      <c r="I145" s="89"/>
      <c r="J145" s="89"/>
      <c r="K145" s="157"/>
      <c r="L145" s="157"/>
      <c r="M145" s="158"/>
      <c r="O145" s="82">
        <f t="shared" si="12"/>
        <v>0</v>
      </c>
    </row>
    <row r="146" spans="1:15" s="5" customFormat="1" ht="16.149999999999999" customHeight="1" x14ac:dyDescent="0.2">
      <c r="A146" s="30"/>
      <c r="B146" s="36"/>
      <c r="C146" s="32"/>
      <c r="D146" s="32">
        <v>2</v>
      </c>
      <c r="E146" s="89">
        <f>3.4-0.4*2</f>
        <v>2.5999999999999996</v>
      </c>
      <c r="F146" s="89">
        <v>0.4</v>
      </c>
      <c r="G146" s="89">
        <v>1.3</v>
      </c>
      <c r="H146" s="89">
        <f t="shared" si="11"/>
        <v>2.7039999999999997</v>
      </c>
      <c r="I146" s="89"/>
      <c r="J146" s="89"/>
      <c r="K146" s="157"/>
      <c r="L146" s="157"/>
      <c r="M146" s="158"/>
      <c r="O146" s="82">
        <f t="shared" si="12"/>
        <v>0</v>
      </c>
    </row>
    <row r="147" spans="1:15" s="5" customFormat="1" ht="16.149999999999999" customHeight="1" x14ac:dyDescent="0.2">
      <c r="A147" s="30"/>
      <c r="B147" s="36"/>
      <c r="C147" s="32"/>
      <c r="D147" s="32"/>
      <c r="E147" s="89"/>
      <c r="F147" s="89"/>
      <c r="G147" s="89"/>
      <c r="H147" s="89"/>
      <c r="I147" s="89">
        <f>SUM(H145:H146)</f>
        <v>5.4079999999999995</v>
      </c>
      <c r="J147" s="89"/>
      <c r="K147" s="157"/>
      <c r="L147" s="157"/>
      <c r="M147" s="158"/>
      <c r="O147" s="82">
        <f t="shared" si="12"/>
        <v>0</v>
      </c>
    </row>
    <row r="148" spans="1:15" ht="15" customHeight="1" x14ac:dyDescent="0.2">
      <c r="A148" s="30"/>
      <c r="B148" s="39"/>
      <c r="C148" s="32"/>
      <c r="D148" s="32"/>
      <c r="E148" s="89"/>
      <c r="F148" s="89"/>
      <c r="G148" s="89"/>
      <c r="H148" s="89"/>
      <c r="I148" s="89"/>
      <c r="J148" s="89"/>
      <c r="K148" s="157"/>
      <c r="L148" s="157"/>
      <c r="M148" s="158"/>
      <c r="O148" s="82">
        <f t="shared" si="12"/>
        <v>0</v>
      </c>
    </row>
    <row r="149" spans="1:15" ht="15" customHeight="1" x14ac:dyDescent="0.2">
      <c r="A149" s="30" t="s">
        <v>150</v>
      </c>
      <c r="B149" s="39" t="s">
        <v>78</v>
      </c>
      <c r="C149" s="32" t="s">
        <v>4</v>
      </c>
      <c r="D149" s="32"/>
      <c r="E149" s="89"/>
      <c r="F149" s="89"/>
      <c r="G149" s="89"/>
      <c r="H149" s="89"/>
      <c r="I149" s="89"/>
      <c r="J149" s="89">
        <f>SUM(I152:I170)</f>
        <v>145.92000000000002</v>
      </c>
      <c r="K149" s="157">
        <v>150</v>
      </c>
      <c r="L149" s="157">
        <v>50</v>
      </c>
      <c r="M149" s="158">
        <f>+L149*K149</f>
        <v>7500</v>
      </c>
      <c r="O149" s="82">
        <f t="shared" si="12"/>
        <v>4.0799999999999841</v>
      </c>
    </row>
    <row r="150" spans="1:15" s="5" customFormat="1" ht="16.149999999999999" customHeight="1" x14ac:dyDescent="0.2">
      <c r="A150" s="30"/>
      <c r="B150" s="98" t="s">
        <v>464</v>
      </c>
      <c r="C150" s="32"/>
      <c r="D150" s="32"/>
      <c r="E150" s="89"/>
      <c r="F150" s="89"/>
      <c r="G150" s="89"/>
      <c r="H150" s="89">
        <f t="shared" ref="H150:H160" si="13">PRODUCT(D150:G150)</f>
        <v>0</v>
      </c>
      <c r="I150" s="89"/>
      <c r="K150" s="157"/>
      <c r="L150" s="157"/>
      <c r="M150" s="158"/>
      <c r="O150" s="82">
        <f t="shared" si="12"/>
        <v>0</v>
      </c>
    </row>
    <row r="151" spans="1:15" s="5" customFormat="1" ht="16.149999999999999" customHeight="1" x14ac:dyDescent="0.2">
      <c r="A151" s="30"/>
      <c r="B151" s="36" t="s">
        <v>461</v>
      </c>
      <c r="C151" s="32"/>
      <c r="D151" s="32">
        <v>2</v>
      </c>
      <c r="E151" s="89">
        <f>43.7+0.35</f>
        <v>44.050000000000004</v>
      </c>
      <c r="F151" s="89">
        <v>0.6</v>
      </c>
      <c r="G151" s="89"/>
      <c r="H151" s="89">
        <f t="shared" si="13"/>
        <v>52.860000000000007</v>
      </c>
      <c r="I151" s="89"/>
      <c r="J151" s="89"/>
      <c r="K151" s="157"/>
      <c r="L151" s="157"/>
      <c r="M151" s="158"/>
      <c r="O151" s="82">
        <f t="shared" si="12"/>
        <v>0</v>
      </c>
    </row>
    <row r="152" spans="1:15" s="5" customFormat="1" ht="16.149999999999999" customHeight="1" x14ac:dyDescent="0.2">
      <c r="A152" s="30"/>
      <c r="B152" s="36"/>
      <c r="C152" s="32"/>
      <c r="D152" s="32">
        <v>2</v>
      </c>
      <c r="E152" s="89">
        <f>15.2-0.4*2</f>
        <v>14.399999999999999</v>
      </c>
      <c r="F152" s="89">
        <v>0.6</v>
      </c>
      <c r="G152" s="89"/>
      <c r="H152" s="89">
        <f t="shared" si="13"/>
        <v>17.279999999999998</v>
      </c>
      <c r="I152" s="89"/>
      <c r="J152" s="89"/>
      <c r="K152" s="157"/>
      <c r="L152" s="157"/>
      <c r="M152" s="158"/>
      <c r="O152" s="82">
        <f t="shared" si="12"/>
        <v>0</v>
      </c>
    </row>
    <row r="153" spans="1:15" s="5" customFormat="1" ht="16.149999999999999" customHeight="1" x14ac:dyDescent="0.2">
      <c r="A153" s="30"/>
      <c r="B153" s="36"/>
      <c r="C153" s="32"/>
      <c r="D153" s="32"/>
      <c r="E153" s="89"/>
      <c r="F153" s="89"/>
      <c r="G153" s="89"/>
      <c r="H153" s="89">
        <f t="shared" si="13"/>
        <v>0</v>
      </c>
      <c r="I153" s="89">
        <f>SUM(H151:H152)</f>
        <v>70.14</v>
      </c>
      <c r="J153" s="89"/>
      <c r="K153" s="157"/>
      <c r="L153" s="157"/>
      <c r="M153" s="158"/>
      <c r="O153" s="82">
        <f t="shared" si="12"/>
        <v>0</v>
      </c>
    </row>
    <row r="154" spans="1:15" s="5" customFormat="1" ht="16.149999999999999" customHeight="1" x14ac:dyDescent="0.2">
      <c r="A154" s="30"/>
      <c r="B154" s="98" t="s">
        <v>465</v>
      </c>
      <c r="C154" s="32"/>
      <c r="D154" s="32"/>
      <c r="E154" s="89"/>
      <c r="F154" s="89"/>
      <c r="G154" s="89"/>
      <c r="H154" s="89">
        <f t="shared" si="13"/>
        <v>0</v>
      </c>
      <c r="I154" s="89"/>
      <c r="J154" s="89"/>
      <c r="K154" s="157"/>
      <c r="L154" s="157"/>
      <c r="M154" s="158"/>
      <c r="O154" s="82">
        <f t="shared" si="12"/>
        <v>0</v>
      </c>
    </row>
    <row r="155" spans="1:15" s="5" customFormat="1" ht="16.149999999999999" customHeight="1" x14ac:dyDescent="0.2">
      <c r="A155" s="30"/>
      <c r="B155" s="36" t="s">
        <v>461</v>
      </c>
      <c r="C155" s="32"/>
      <c r="D155" s="32">
        <v>2</v>
      </c>
      <c r="E155" s="89">
        <v>10.9</v>
      </c>
      <c r="F155" s="89">
        <v>0.6</v>
      </c>
      <c r="G155" s="89"/>
      <c r="H155" s="89">
        <f t="shared" si="13"/>
        <v>13.08</v>
      </c>
      <c r="I155" s="89"/>
      <c r="J155" s="89"/>
      <c r="K155" s="157"/>
      <c r="L155" s="157"/>
      <c r="M155" s="158"/>
      <c r="O155" s="82">
        <f t="shared" si="12"/>
        <v>0</v>
      </c>
    </row>
    <row r="156" spans="1:15" s="5" customFormat="1" ht="16.149999999999999" customHeight="1" x14ac:dyDescent="0.2">
      <c r="A156" s="30"/>
      <c r="B156" s="36"/>
      <c r="C156" s="32"/>
      <c r="D156" s="32">
        <v>2</v>
      </c>
      <c r="E156" s="89">
        <f>9.6-0.4*2</f>
        <v>8.7999999999999989</v>
      </c>
      <c r="F156" s="89">
        <v>0.6</v>
      </c>
      <c r="G156" s="89"/>
      <c r="H156" s="89">
        <f t="shared" si="13"/>
        <v>10.559999999999999</v>
      </c>
      <c r="I156" s="89"/>
      <c r="J156" s="89"/>
      <c r="K156" s="157"/>
      <c r="L156" s="157"/>
      <c r="M156" s="158"/>
      <c r="O156" s="82">
        <f t="shared" si="12"/>
        <v>0</v>
      </c>
    </row>
    <row r="157" spans="1:15" s="5" customFormat="1" ht="16.149999999999999" customHeight="1" x14ac:dyDescent="0.2">
      <c r="A157" s="30"/>
      <c r="B157" s="36"/>
      <c r="C157" s="32"/>
      <c r="D157" s="32"/>
      <c r="E157" s="89"/>
      <c r="F157" s="89"/>
      <c r="G157" s="89"/>
      <c r="H157" s="89">
        <f t="shared" si="13"/>
        <v>0</v>
      </c>
      <c r="I157" s="89">
        <f>SUM(H155:H156)</f>
        <v>23.64</v>
      </c>
      <c r="J157" s="89"/>
      <c r="K157" s="157"/>
      <c r="L157" s="157"/>
      <c r="M157" s="158"/>
      <c r="O157" s="82">
        <f t="shared" si="12"/>
        <v>0</v>
      </c>
    </row>
    <row r="158" spans="1:15" s="5" customFormat="1" ht="16.149999999999999" customHeight="1" x14ac:dyDescent="0.2">
      <c r="A158" s="30"/>
      <c r="B158" s="98" t="s">
        <v>530</v>
      </c>
      <c r="C158" s="32"/>
      <c r="D158" s="32"/>
      <c r="E158" s="89"/>
      <c r="F158" s="89"/>
      <c r="G158" s="89"/>
      <c r="H158" s="89">
        <f t="shared" si="13"/>
        <v>0</v>
      </c>
      <c r="I158" s="89"/>
      <c r="J158" s="89"/>
      <c r="K158" s="157"/>
      <c r="L158" s="157"/>
      <c r="M158" s="158"/>
      <c r="O158" s="82">
        <f t="shared" si="12"/>
        <v>0</v>
      </c>
    </row>
    <row r="159" spans="1:15" s="5" customFormat="1" ht="16.149999999999999" customHeight="1" x14ac:dyDescent="0.2">
      <c r="A159" s="30"/>
      <c r="B159" s="36" t="s">
        <v>461</v>
      </c>
      <c r="C159" s="32"/>
      <c r="D159" s="32">
        <v>2</v>
      </c>
      <c r="E159" s="89">
        <v>11.3</v>
      </c>
      <c r="F159" s="89">
        <v>0.6</v>
      </c>
      <c r="G159" s="89"/>
      <c r="H159" s="89">
        <f t="shared" si="13"/>
        <v>13.56</v>
      </c>
      <c r="I159" s="89"/>
      <c r="J159" s="89"/>
      <c r="K159" s="157"/>
      <c r="L159" s="157"/>
      <c r="M159" s="158"/>
      <c r="O159" s="82">
        <f t="shared" si="12"/>
        <v>0</v>
      </c>
    </row>
    <row r="160" spans="1:15" s="5" customFormat="1" ht="16.149999999999999" customHeight="1" x14ac:dyDescent="0.2">
      <c r="A160" s="30"/>
      <c r="B160" s="36"/>
      <c r="C160" s="32"/>
      <c r="D160" s="32">
        <v>2</v>
      </c>
      <c r="E160" s="89">
        <f>9.75-0.4*2</f>
        <v>8.9499999999999993</v>
      </c>
      <c r="F160" s="89">
        <v>0.6</v>
      </c>
      <c r="G160" s="89"/>
      <c r="H160" s="89">
        <f t="shared" si="13"/>
        <v>10.739999999999998</v>
      </c>
      <c r="I160" s="89"/>
      <c r="J160" s="89"/>
      <c r="K160" s="157"/>
      <c r="L160" s="157"/>
      <c r="M160" s="158"/>
      <c r="O160" s="82">
        <f t="shared" si="12"/>
        <v>0</v>
      </c>
    </row>
    <row r="161" spans="1:15" s="5" customFormat="1" ht="16.149999999999999" customHeight="1" x14ac:dyDescent="0.2">
      <c r="A161" s="30"/>
      <c r="B161" s="36"/>
      <c r="C161" s="32"/>
      <c r="D161" s="32"/>
      <c r="E161" s="89"/>
      <c r="F161" s="89"/>
      <c r="G161" s="89"/>
      <c r="H161" s="89"/>
      <c r="I161" s="89">
        <f>SUM(H159:H160)</f>
        <v>24.299999999999997</v>
      </c>
      <c r="J161" s="89"/>
      <c r="K161" s="157"/>
      <c r="L161" s="157"/>
      <c r="M161" s="158"/>
      <c r="O161" s="82">
        <f t="shared" si="12"/>
        <v>0</v>
      </c>
    </row>
    <row r="162" spans="1:15" s="5" customFormat="1" ht="16.149999999999999" customHeight="1" x14ac:dyDescent="0.2">
      <c r="A162" s="30"/>
      <c r="B162" s="98" t="s">
        <v>466</v>
      </c>
      <c r="C162" s="32"/>
      <c r="D162" s="32"/>
      <c r="E162" s="89"/>
      <c r="F162" s="89"/>
      <c r="G162" s="89"/>
      <c r="H162" s="89">
        <f t="shared" ref="H162:H168" si="14">PRODUCT(D162:G162)</f>
        <v>0</v>
      </c>
      <c r="I162" s="89"/>
      <c r="J162" s="89"/>
      <c r="K162" s="157"/>
      <c r="L162" s="157"/>
      <c r="M162" s="158"/>
      <c r="O162" s="82">
        <f t="shared" si="12"/>
        <v>0</v>
      </c>
    </row>
    <row r="163" spans="1:15" s="5" customFormat="1" ht="16.149999999999999" customHeight="1" x14ac:dyDescent="0.2">
      <c r="A163" s="30"/>
      <c r="B163" s="36" t="s">
        <v>461</v>
      </c>
      <c r="C163" s="32"/>
      <c r="D163" s="32">
        <v>2</v>
      </c>
      <c r="E163" s="89">
        <f>8.8+0.1*2</f>
        <v>9</v>
      </c>
      <c r="F163" s="89">
        <v>0.6</v>
      </c>
      <c r="G163" s="89"/>
      <c r="H163" s="89">
        <f t="shared" si="14"/>
        <v>10.799999999999999</v>
      </c>
      <c r="I163" s="89"/>
      <c r="J163" s="89"/>
      <c r="K163" s="157"/>
      <c r="L163" s="157"/>
      <c r="M163" s="158"/>
      <c r="O163" s="82">
        <f t="shared" si="12"/>
        <v>0</v>
      </c>
    </row>
    <row r="164" spans="1:15" s="5" customFormat="1" ht="16.149999999999999" customHeight="1" x14ac:dyDescent="0.2">
      <c r="A164" s="30"/>
      <c r="B164" s="36"/>
      <c r="C164" s="32"/>
      <c r="D164" s="32">
        <v>2</v>
      </c>
      <c r="E164" s="89">
        <f>9.8-0.4*2</f>
        <v>9</v>
      </c>
      <c r="F164" s="89">
        <v>0.6</v>
      </c>
      <c r="G164" s="89"/>
      <c r="H164" s="89">
        <f t="shared" si="14"/>
        <v>10.799999999999999</v>
      </c>
      <c r="I164" s="89"/>
      <c r="J164" s="89"/>
      <c r="K164" s="157"/>
      <c r="L164" s="157"/>
      <c r="M164" s="158"/>
      <c r="O164" s="82">
        <f t="shared" si="12"/>
        <v>0</v>
      </c>
    </row>
    <row r="165" spans="1:15" s="5" customFormat="1" ht="16.149999999999999" customHeight="1" x14ac:dyDescent="0.2">
      <c r="A165" s="30"/>
      <c r="B165" s="36"/>
      <c r="C165" s="32"/>
      <c r="D165" s="32"/>
      <c r="E165" s="89"/>
      <c r="F165" s="89"/>
      <c r="G165" s="89"/>
      <c r="H165" s="89">
        <f t="shared" si="14"/>
        <v>0</v>
      </c>
      <c r="I165" s="89">
        <f>SUM(H163:H164)</f>
        <v>21.599999999999998</v>
      </c>
      <c r="J165" s="89"/>
      <c r="K165" s="157"/>
      <c r="L165" s="157"/>
      <c r="M165" s="158"/>
      <c r="O165" s="82">
        <f t="shared" si="12"/>
        <v>0</v>
      </c>
    </row>
    <row r="166" spans="1:15" s="5" customFormat="1" ht="16.149999999999999" customHeight="1" x14ac:dyDescent="0.2">
      <c r="A166" s="30"/>
      <c r="B166" s="98" t="s">
        <v>467</v>
      </c>
      <c r="C166" s="32"/>
      <c r="D166" s="32"/>
      <c r="E166" s="89"/>
      <c r="F166" s="89"/>
      <c r="G166" s="89"/>
      <c r="H166" s="89">
        <f t="shared" si="14"/>
        <v>0</v>
      </c>
      <c r="I166" s="89"/>
      <c r="J166" s="89"/>
      <c r="K166" s="157"/>
      <c r="L166" s="157"/>
      <c r="M166" s="158"/>
      <c r="O166" s="82">
        <f t="shared" si="12"/>
        <v>0</v>
      </c>
    </row>
    <row r="167" spans="1:15" s="5" customFormat="1" ht="16.149999999999999" customHeight="1" x14ac:dyDescent="0.2">
      <c r="A167" s="30"/>
      <c r="B167" s="36" t="s">
        <v>461</v>
      </c>
      <c r="C167" s="32"/>
      <c r="D167" s="32">
        <v>2</v>
      </c>
      <c r="E167" s="89">
        <f>2.4+0.1*2</f>
        <v>2.6</v>
      </c>
      <c r="F167" s="89">
        <v>0.6</v>
      </c>
      <c r="G167" s="89"/>
      <c r="H167" s="89">
        <f t="shared" si="14"/>
        <v>3.12</v>
      </c>
      <c r="I167" s="89"/>
      <c r="J167" s="89"/>
      <c r="K167" s="157"/>
      <c r="L167" s="157"/>
      <c r="M167" s="158"/>
      <c r="O167" s="82">
        <f t="shared" si="12"/>
        <v>0</v>
      </c>
    </row>
    <row r="168" spans="1:15" s="5" customFormat="1" ht="16.149999999999999" customHeight="1" x14ac:dyDescent="0.2">
      <c r="A168" s="30"/>
      <c r="B168" s="36"/>
      <c r="C168" s="32"/>
      <c r="D168" s="32">
        <v>2</v>
      </c>
      <c r="E168" s="89">
        <f>3.4-0.4*2</f>
        <v>2.5999999999999996</v>
      </c>
      <c r="F168" s="89">
        <v>0.6</v>
      </c>
      <c r="G168" s="89"/>
      <c r="H168" s="89">
        <f t="shared" si="14"/>
        <v>3.1199999999999997</v>
      </c>
      <c r="I168" s="89"/>
      <c r="J168" s="89"/>
      <c r="K168" s="157"/>
      <c r="L168" s="157"/>
      <c r="M168" s="158"/>
      <c r="O168" s="82">
        <f t="shared" si="12"/>
        <v>0</v>
      </c>
    </row>
    <row r="169" spans="1:15" s="5" customFormat="1" ht="16.149999999999999" customHeight="1" x14ac:dyDescent="0.2">
      <c r="A169" s="30"/>
      <c r="B169" s="36"/>
      <c r="C169" s="32"/>
      <c r="D169" s="32"/>
      <c r="E169" s="89"/>
      <c r="F169" s="89"/>
      <c r="G169" s="89"/>
      <c r="H169" s="89"/>
      <c r="I169" s="89">
        <f>SUM(H167:H168)</f>
        <v>6.24</v>
      </c>
      <c r="J169" s="89"/>
      <c r="K169" s="157"/>
      <c r="L169" s="157"/>
      <c r="M169" s="158"/>
      <c r="O169" s="82">
        <f t="shared" si="12"/>
        <v>0</v>
      </c>
    </row>
    <row r="170" spans="1:15" ht="15" customHeight="1" x14ac:dyDescent="0.2">
      <c r="A170" s="30"/>
      <c r="B170" s="39"/>
      <c r="C170" s="32"/>
      <c r="D170" s="32"/>
      <c r="E170" s="89"/>
      <c r="F170" s="89"/>
      <c r="G170" s="89"/>
      <c r="H170" s="89"/>
      <c r="I170" s="89"/>
      <c r="J170" s="89"/>
      <c r="K170" s="157"/>
      <c r="L170" s="157"/>
      <c r="M170" s="158"/>
      <c r="O170" s="82">
        <f t="shared" si="12"/>
        <v>0</v>
      </c>
    </row>
    <row r="171" spans="1:15" ht="18" customHeight="1" x14ac:dyDescent="0.2">
      <c r="A171" s="250" t="s">
        <v>97</v>
      </c>
      <c r="B171" s="251"/>
      <c r="C171" s="251"/>
      <c r="D171" s="251"/>
      <c r="E171" s="251"/>
      <c r="F171" s="251"/>
      <c r="G171" s="251"/>
      <c r="H171" s="251"/>
      <c r="I171" s="251"/>
      <c r="J171" s="251"/>
      <c r="K171" s="251"/>
      <c r="L171" s="252"/>
      <c r="M171" s="159">
        <f>SUM(M60:M149)</f>
        <v>114900</v>
      </c>
      <c r="O171" s="82">
        <f t="shared" si="12"/>
        <v>0</v>
      </c>
    </row>
    <row r="172" spans="1:15" ht="18" customHeight="1" x14ac:dyDescent="0.2">
      <c r="A172" s="24"/>
      <c r="B172" s="25" t="s">
        <v>151</v>
      </c>
      <c r="C172" s="26"/>
      <c r="D172" s="26"/>
      <c r="E172" s="88"/>
      <c r="F172" s="88"/>
      <c r="G172" s="88"/>
      <c r="H172" s="88"/>
      <c r="I172" s="88"/>
      <c r="J172" s="88"/>
      <c r="K172" s="155"/>
      <c r="L172" s="155"/>
      <c r="M172" s="156"/>
      <c r="O172" s="82">
        <f t="shared" si="12"/>
        <v>0</v>
      </c>
    </row>
    <row r="173" spans="1:15" ht="17.100000000000001" customHeight="1" x14ac:dyDescent="0.2">
      <c r="A173" s="30" t="s">
        <v>152</v>
      </c>
      <c r="B173" s="39" t="s">
        <v>255</v>
      </c>
      <c r="C173" s="32" t="s">
        <v>4</v>
      </c>
      <c r="D173" s="32"/>
      <c r="E173" s="89"/>
      <c r="F173" s="89"/>
      <c r="G173" s="89"/>
      <c r="H173" s="89"/>
      <c r="I173" s="89"/>
      <c r="J173" s="89">
        <f>SUM(I175:I199)</f>
        <v>639.68250000000012</v>
      </c>
      <c r="K173" s="157">
        <v>645</v>
      </c>
      <c r="L173" s="157">
        <v>30</v>
      </c>
      <c r="M173" s="158">
        <f>+L173*K173</f>
        <v>19350</v>
      </c>
      <c r="O173" s="82">
        <f t="shared" si="12"/>
        <v>5.3174999999998818</v>
      </c>
    </row>
    <row r="174" spans="1:15" s="5" customFormat="1" ht="16.149999999999999" customHeight="1" x14ac:dyDescent="0.2">
      <c r="A174" s="30"/>
      <c r="B174" s="98" t="s">
        <v>464</v>
      </c>
      <c r="C174" s="32"/>
      <c r="D174" s="32"/>
      <c r="E174" s="89"/>
      <c r="F174" s="89"/>
      <c r="G174" s="89"/>
      <c r="H174" s="89"/>
      <c r="I174" s="89"/>
      <c r="K174" s="157"/>
      <c r="L174" s="157"/>
      <c r="M174" s="158"/>
      <c r="O174" s="82">
        <f t="shared" si="12"/>
        <v>0</v>
      </c>
    </row>
    <row r="175" spans="1:15" ht="15.95" customHeight="1" x14ac:dyDescent="0.2">
      <c r="A175" s="30"/>
      <c r="B175" s="46"/>
      <c r="C175" s="41"/>
      <c r="D175" s="41">
        <v>1</v>
      </c>
      <c r="E175" s="90">
        <f>43.7+0.35-0.45*2-0.2*7</f>
        <v>41.750000000000007</v>
      </c>
      <c r="F175" s="90">
        <f>11.25-0.45*2-0.2</f>
        <v>10.15</v>
      </c>
      <c r="G175" s="90"/>
      <c r="H175" s="89">
        <f t="shared" ref="H175:H176" si="15">PRODUCT(D175:G175)</f>
        <v>423.7625000000001</v>
      </c>
      <c r="I175" s="90"/>
      <c r="J175" s="90"/>
      <c r="K175" s="157"/>
      <c r="L175" s="157"/>
      <c r="M175" s="158"/>
      <c r="O175" s="82">
        <f t="shared" si="12"/>
        <v>0</v>
      </c>
    </row>
    <row r="176" spans="1:15" ht="17.100000000000001" customHeight="1" x14ac:dyDescent="0.2">
      <c r="A176" s="30"/>
      <c r="B176" s="39"/>
      <c r="C176" s="32"/>
      <c r="D176" s="32">
        <v>2</v>
      </c>
      <c r="E176" s="89">
        <f>3.95-0.45</f>
        <v>3.5</v>
      </c>
      <c r="F176" s="89">
        <f>3.6-0.45*2</f>
        <v>2.7</v>
      </c>
      <c r="G176" s="89"/>
      <c r="H176" s="89">
        <f t="shared" si="15"/>
        <v>18.900000000000002</v>
      </c>
      <c r="I176" s="89"/>
      <c r="J176" s="89"/>
      <c r="K176" s="157"/>
      <c r="L176" s="157"/>
      <c r="M176" s="158"/>
      <c r="O176" s="82">
        <f t="shared" si="12"/>
        <v>0</v>
      </c>
    </row>
    <row r="177" spans="1:15" ht="17.100000000000001" customHeight="1" x14ac:dyDescent="0.2">
      <c r="A177" s="30"/>
      <c r="B177" s="39"/>
      <c r="C177" s="32"/>
      <c r="D177" s="32"/>
      <c r="E177" s="89"/>
      <c r="F177" s="89"/>
      <c r="G177" s="89"/>
      <c r="H177" s="89"/>
      <c r="I177" s="89">
        <f>SUM(H175:H177)</f>
        <v>442.66250000000008</v>
      </c>
      <c r="J177" s="89"/>
      <c r="K177" s="157"/>
      <c r="L177" s="157"/>
      <c r="M177" s="158"/>
      <c r="O177" s="82">
        <f t="shared" si="12"/>
        <v>0</v>
      </c>
    </row>
    <row r="178" spans="1:15" s="5" customFormat="1" ht="16.149999999999999" customHeight="1" x14ac:dyDescent="0.2">
      <c r="A178" s="30"/>
      <c r="B178" s="98" t="s">
        <v>465</v>
      </c>
      <c r="C178" s="32"/>
      <c r="D178" s="32"/>
      <c r="E178" s="89"/>
      <c r="F178" s="89"/>
      <c r="G178" s="89"/>
      <c r="H178" s="89">
        <f t="shared" ref="H178:H199" si="16">PRODUCT(D178:G178)</f>
        <v>0</v>
      </c>
      <c r="I178" s="89"/>
      <c r="J178" s="89"/>
      <c r="K178" s="157"/>
      <c r="L178" s="157"/>
      <c r="M178" s="158"/>
      <c r="O178" s="82">
        <f t="shared" si="12"/>
        <v>0</v>
      </c>
    </row>
    <row r="179" spans="1:15" ht="15.95" customHeight="1" x14ac:dyDescent="0.2">
      <c r="A179" s="30"/>
      <c r="B179" s="46"/>
      <c r="C179" s="41"/>
      <c r="D179" s="41">
        <v>1</v>
      </c>
      <c r="E179" s="90">
        <v>12.7</v>
      </c>
      <c r="F179" s="90">
        <v>1</v>
      </c>
      <c r="G179" s="90"/>
      <c r="H179" s="89">
        <f t="shared" si="16"/>
        <v>12.7</v>
      </c>
      <c r="I179" s="90"/>
      <c r="J179" s="90"/>
      <c r="K179" s="157"/>
      <c r="L179" s="157"/>
      <c r="M179" s="158"/>
      <c r="O179" s="82">
        <f t="shared" si="12"/>
        <v>0</v>
      </c>
    </row>
    <row r="180" spans="1:15" ht="15.95" customHeight="1" x14ac:dyDescent="0.2">
      <c r="A180" s="30"/>
      <c r="B180" s="46"/>
      <c r="C180" s="41"/>
      <c r="D180" s="41">
        <v>1</v>
      </c>
      <c r="E180" s="90">
        <v>13.63</v>
      </c>
      <c r="F180" s="90">
        <v>1</v>
      </c>
      <c r="G180" s="90"/>
      <c r="H180" s="89">
        <f t="shared" si="16"/>
        <v>13.63</v>
      </c>
      <c r="I180" s="90"/>
      <c r="J180" s="90"/>
      <c r="K180" s="157"/>
      <c r="L180" s="157"/>
      <c r="M180" s="158"/>
      <c r="O180" s="82">
        <f t="shared" si="12"/>
        <v>0</v>
      </c>
    </row>
    <row r="181" spans="1:15" ht="15.95" customHeight="1" x14ac:dyDescent="0.2">
      <c r="A181" s="30"/>
      <c r="B181" s="46"/>
      <c r="C181" s="41"/>
      <c r="D181" s="41">
        <v>1</v>
      </c>
      <c r="E181" s="90">
        <f>4.12+2.42</f>
        <v>6.54</v>
      </c>
      <c r="F181" s="90">
        <v>1</v>
      </c>
      <c r="G181" s="90"/>
      <c r="H181" s="89">
        <f t="shared" si="16"/>
        <v>6.54</v>
      </c>
      <c r="I181" s="90"/>
      <c r="J181" s="90"/>
      <c r="K181" s="157"/>
      <c r="L181" s="157"/>
      <c r="M181" s="158"/>
      <c r="O181" s="82">
        <f t="shared" si="12"/>
        <v>0</v>
      </c>
    </row>
    <row r="182" spans="1:15" ht="15.95" customHeight="1" x14ac:dyDescent="0.2">
      <c r="A182" s="30"/>
      <c r="B182" s="46"/>
      <c r="C182" s="41"/>
      <c r="D182" s="41">
        <v>1</v>
      </c>
      <c r="E182" s="90">
        <v>10.87</v>
      </c>
      <c r="F182" s="90">
        <v>1</v>
      </c>
      <c r="G182" s="90"/>
      <c r="H182" s="89">
        <f t="shared" si="16"/>
        <v>10.87</v>
      </c>
      <c r="I182" s="90"/>
      <c r="J182" s="90"/>
      <c r="K182" s="157"/>
      <c r="L182" s="157"/>
      <c r="M182" s="158"/>
      <c r="O182" s="82">
        <f t="shared" si="12"/>
        <v>0</v>
      </c>
    </row>
    <row r="183" spans="1:15" ht="15.95" customHeight="1" x14ac:dyDescent="0.2">
      <c r="A183" s="30"/>
      <c r="B183" s="46"/>
      <c r="C183" s="41"/>
      <c r="D183" s="41">
        <v>1</v>
      </c>
      <c r="E183" s="90">
        <v>10.67</v>
      </c>
      <c r="F183" s="90">
        <v>1</v>
      </c>
      <c r="G183" s="90"/>
      <c r="H183" s="89">
        <f t="shared" si="16"/>
        <v>10.67</v>
      </c>
      <c r="I183" s="90"/>
      <c r="J183" s="90"/>
      <c r="K183" s="157"/>
      <c r="L183" s="157"/>
      <c r="M183" s="158"/>
      <c r="O183" s="82">
        <f t="shared" si="12"/>
        <v>0</v>
      </c>
    </row>
    <row r="184" spans="1:15" ht="15.95" customHeight="1" x14ac:dyDescent="0.2">
      <c r="A184" s="30"/>
      <c r="B184" s="46"/>
      <c r="C184" s="41"/>
      <c r="D184" s="41"/>
      <c r="E184" s="90"/>
      <c r="F184" s="90"/>
      <c r="G184" s="90"/>
      <c r="H184" s="89">
        <f t="shared" si="16"/>
        <v>0</v>
      </c>
      <c r="I184" s="90">
        <f>SUM(H179:H183)</f>
        <v>54.41</v>
      </c>
      <c r="J184" s="90"/>
      <c r="K184" s="157"/>
      <c r="L184" s="157"/>
      <c r="M184" s="158"/>
      <c r="O184" s="82">
        <f t="shared" si="12"/>
        <v>0</v>
      </c>
    </row>
    <row r="185" spans="1:15" s="5" customFormat="1" ht="16.149999999999999" customHeight="1" x14ac:dyDescent="0.2">
      <c r="A185" s="30"/>
      <c r="B185" s="98" t="s">
        <v>530</v>
      </c>
      <c r="C185" s="32"/>
      <c r="D185" s="32"/>
      <c r="E185" s="89"/>
      <c r="F185" s="89"/>
      <c r="G185" s="89"/>
      <c r="H185" s="89">
        <f t="shared" si="16"/>
        <v>0</v>
      </c>
      <c r="I185" s="89"/>
      <c r="J185" s="89"/>
      <c r="K185" s="157"/>
      <c r="L185" s="157"/>
      <c r="M185" s="158"/>
      <c r="O185" s="82">
        <f t="shared" si="12"/>
        <v>0</v>
      </c>
    </row>
    <row r="186" spans="1:15" s="5" customFormat="1" ht="16.149999999999999" customHeight="1" x14ac:dyDescent="0.2">
      <c r="A186" s="30"/>
      <c r="B186" s="36"/>
      <c r="C186" s="32"/>
      <c r="D186" s="32">
        <v>1</v>
      </c>
      <c r="E186" s="89">
        <v>8.85</v>
      </c>
      <c r="F186" s="89">
        <v>1</v>
      </c>
      <c r="G186" s="89"/>
      <c r="H186" s="89">
        <f t="shared" si="16"/>
        <v>8.85</v>
      </c>
      <c r="I186" s="89"/>
      <c r="J186" s="89"/>
      <c r="K186" s="157"/>
      <c r="L186" s="157"/>
      <c r="M186" s="158"/>
      <c r="O186" s="82">
        <f t="shared" si="12"/>
        <v>0</v>
      </c>
    </row>
    <row r="187" spans="1:15" s="5" customFormat="1" ht="16.149999999999999" customHeight="1" x14ac:dyDescent="0.2">
      <c r="A187" s="30"/>
      <c r="B187" s="36"/>
      <c r="C187" s="32"/>
      <c r="D187" s="32">
        <v>1</v>
      </c>
      <c r="E187" s="89">
        <v>12.42</v>
      </c>
      <c r="F187" s="89">
        <v>1</v>
      </c>
      <c r="G187" s="89"/>
      <c r="H187" s="89">
        <f t="shared" si="16"/>
        <v>12.42</v>
      </c>
      <c r="I187" s="89"/>
      <c r="J187" s="89"/>
      <c r="K187" s="157"/>
      <c r="L187" s="157"/>
      <c r="M187" s="158"/>
      <c r="O187" s="82">
        <f t="shared" si="12"/>
        <v>0</v>
      </c>
    </row>
    <row r="188" spans="1:15" s="5" customFormat="1" ht="16.149999999999999" customHeight="1" x14ac:dyDescent="0.2">
      <c r="A188" s="30"/>
      <c r="B188" s="36"/>
      <c r="C188" s="32"/>
      <c r="D188" s="32">
        <v>1</v>
      </c>
      <c r="E188" s="89">
        <v>12.76</v>
      </c>
      <c r="F188" s="89">
        <v>1</v>
      </c>
      <c r="G188" s="89"/>
      <c r="H188" s="89">
        <f t="shared" si="16"/>
        <v>12.76</v>
      </c>
      <c r="J188" s="89"/>
      <c r="K188" s="157"/>
      <c r="L188" s="157"/>
      <c r="M188" s="158"/>
      <c r="O188" s="82">
        <f t="shared" si="12"/>
        <v>0</v>
      </c>
    </row>
    <row r="189" spans="1:15" ht="15.95" customHeight="1" x14ac:dyDescent="0.2">
      <c r="A189" s="30"/>
      <c r="B189" s="46"/>
      <c r="C189" s="41"/>
      <c r="D189" s="41">
        <v>1</v>
      </c>
      <c r="E189" s="90">
        <v>17.38</v>
      </c>
      <c r="F189" s="89">
        <v>1</v>
      </c>
      <c r="G189" s="90"/>
      <c r="H189" s="89">
        <f t="shared" si="16"/>
        <v>17.38</v>
      </c>
      <c r="I189" s="90"/>
      <c r="J189" s="90"/>
      <c r="K189" s="157"/>
      <c r="L189" s="157"/>
      <c r="M189" s="158"/>
      <c r="O189" s="82">
        <f t="shared" si="12"/>
        <v>0</v>
      </c>
    </row>
    <row r="190" spans="1:15" ht="15.95" customHeight="1" x14ac:dyDescent="0.2">
      <c r="A190" s="30"/>
      <c r="B190" s="46"/>
      <c r="C190" s="41"/>
      <c r="D190" s="41">
        <v>1</v>
      </c>
      <c r="E190" s="90">
        <v>3.27</v>
      </c>
      <c r="F190" s="89">
        <v>1</v>
      </c>
      <c r="G190" s="90"/>
      <c r="H190" s="89">
        <f t="shared" si="16"/>
        <v>3.27</v>
      </c>
      <c r="I190" s="90"/>
      <c r="J190" s="90"/>
      <c r="K190" s="157"/>
      <c r="L190" s="157"/>
      <c r="M190" s="158"/>
      <c r="O190" s="82">
        <f t="shared" si="12"/>
        <v>0</v>
      </c>
    </row>
    <row r="191" spans="1:15" ht="15.95" customHeight="1" x14ac:dyDescent="0.2">
      <c r="A191" s="30"/>
      <c r="B191" s="46"/>
      <c r="C191" s="41"/>
      <c r="D191" s="41">
        <v>1</v>
      </c>
      <c r="E191" s="90">
        <v>4.09</v>
      </c>
      <c r="F191" s="89">
        <v>1</v>
      </c>
      <c r="G191" s="90"/>
      <c r="H191" s="89">
        <f t="shared" si="16"/>
        <v>4.09</v>
      </c>
      <c r="I191" s="90"/>
      <c r="J191" s="90"/>
      <c r="K191" s="157"/>
      <c r="L191" s="157"/>
      <c r="M191" s="158"/>
      <c r="O191" s="82">
        <f t="shared" si="12"/>
        <v>0</v>
      </c>
    </row>
    <row r="192" spans="1:15" ht="15.95" customHeight="1" x14ac:dyDescent="0.2">
      <c r="A192" s="30"/>
      <c r="B192" s="46"/>
      <c r="C192" s="41"/>
      <c r="D192" s="41">
        <v>1</v>
      </c>
      <c r="E192" s="90">
        <v>11.04</v>
      </c>
      <c r="F192" s="89">
        <v>1</v>
      </c>
      <c r="G192" s="90"/>
      <c r="H192" s="89">
        <f t="shared" si="16"/>
        <v>11.04</v>
      </c>
      <c r="I192" s="90"/>
      <c r="J192" s="90"/>
      <c r="K192" s="157"/>
      <c r="L192" s="157"/>
      <c r="M192" s="158"/>
      <c r="O192" s="82">
        <f t="shared" si="12"/>
        <v>0</v>
      </c>
    </row>
    <row r="193" spans="1:15" ht="15.95" customHeight="1" x14ac:dyDescent="0.2">
      <c r="A193" s="30"/>
      <c r="B193" s="46"/>
      <c r="C193" s="41"/>
      <c r="D193" s="41"/>
      <c r="E193" s="90"/>
      <c r="F193" s="90"/>
      <c r="G193" s="90"/>
      <c r="H193" s="89"/>
      <c r="I193" s="89">
        <f>SUM(H186:H192)</f>
        <v>69.81</v>
      </c>
      <c r="J193" s="90"/>
      <c r="K193" s="157"/>
      <c r="L193" s="157"/>
      <c r="M193" s="158"/>
      <c r="O193" s="82">
        <f t="shared" si="12"/>
        <v>0</v>
      </c>
    </row>
    <row r="194" spans="1:15" s="5" customFormat="1" ht="16.149999999999999" customHeight="1" x14ac:dyDescent="0.2">
      <c r="A194" s="30"/>
      <c r="B194" s="98" t="s">
        <v>466</v>
      </c>
      <c r="C194" s="32"/>
      <c r="D194" s="32"/>
      <c r="E194" s="89"/>
      <c r="F194" s="89"/>
      <c r="G194" s="89"/>
      <c r="H194" s="89">
        <f t="shared" si="16"/>
        <v>0</v>
      </c>
      <c r="I194" s="89"/>
      <c r="J194" s="89"/>
      <c r="K194" s="157"/>
      <c r="L194" s="157"/>
      <c r="M194" s="158"/>
      <c r="O194" s="82">
        <f t="shared" si="12"/>
        <v>0</v>
      </c>
    </row>
    <row r="195" spans="1:15" ht="15.95" customHeight="1" x14ac:dyDescent="0.2">
      <c r="A195" s="30"/>
      <c r="B195" s="46"/>
      <c r="C195" s="41"/>
      <c r="D195" s="41">
        <v>1</v>
      </c>
      <c r="E195" s="90">
        <f>8.8-0.4*2-0.2</f>
        <v>7.8</v>
      </c>
      <c r="F195" s="90">
        <f>9.8-0.4*2-0.2</f>
        <v>8.8000000000000007</v>
      </c>
      <c r="G195" s="90"/>
      <c r="H195" s="89">
        <f t="shared" si="16"/>
        <v>68.64</v>
      </c>
      <c r="I195" s="90"/>
      <c r="J195" s="90"/>
      <c r="K195" s="157"/>
      <c r="L195" s="157"/>
      <c r="M195" s="158"/>
      <c r="O195" s="82">
        <f t="shared" si="12"/>
        <v>0</v>
      </c>
    </row>
    <row r="196" spans="1:15" ht="15.95" customHeight="1" x14ac:dyDescent="0.2">
      <c r="A196" s="30"/>
      <c r="B196" s="46"/>
      <c r="C196" s="41"/>
      <c r="D196" s="41"/>
      <c r="E196" s="90"/>
      <c r="F196" s="90"/>
      <c r="G196" s="90"/>
      <c r="H196" s="89">
        <f t="shared" si="16"/>
        <v>0</v>
      </c>
      <c r="I196" s="90">
        <f>SUM(H194:H195)</f>
        <v>68.64</v>
      </c>
      <c r="J196" s="90"/>
      <c r="K196" s="157"/>
      <c r="L196" s="157"/>
      <c r="M196" s="158"/>
      <c r="O196" s="82">
        <f t="shared" si="12"/>
        <v>0</v>
      </c>
    </row>
    <row r="197" spans="1:15" s="5" customFormat="1" ht="16.149999999999999" customHeight="1" x14ac:dyDescent="0.2">
      <c r="A197" s="30"/>
      <c r="B197" s="98" t="s">
        <v>467</v>
      </c>
      <c r="C197" s="32"/>
      <c r="D197" s="32"/>
      <c r="E197" s="89"/>
      <c r="F197" s="89"/>
      <c r="G197" s="89"/>
      <c r="H197" s="89">
        <f t="shared" si="16"/>
        <v>0</v>
      </c>
      <c r="I197" s="89"/>
      <c r="J197" s="89"/>
      <c r="K197" s="157"/>
      <c r="L197" s="157"/>
      <c r="M197" s="158"/>
      <c r="O197" s="82">
        <f t="shared" si="12"/>
        <v>0</v>
      </c>
    </row>
    <row r="198" spans="1:15" ht="15.95" customHeight="1" x14ac:dyDescent="0.2">
      <c r="A198" s="30"/>
      <c r="B198" s="46"/>
      <c r="C198" s="41"/>
      <c r="D198" s="41">
        <v>1</v>
      </c>
      <c r="E198" s="90">
        <f>2.4-0.4*2</f>
        <v>1.5999999999999999</v>
      </c>
      <c r="F198" s="90">
        <f>3.4-0.4*2</f>
        <v>2.5999999999999996</v>
      </c>
      <c r="G198" s="90"/>
      <c r="H198" s="89">
        <f t="shared" si="16"/>
        <v>4.1599999999999993</v>
      </c>
      <c r="I198" s="90"/>
      <c r="J198" s="90"/>
      <c r="K198" s="157"/>
      <c r="L198" s="157"/>
      <c r="M198" s="158"/>
      <c r="O198" s="82">
        <f t="shared" ref="O198:O261" si="17">K198-J198</f>
        <v>0</v>
      </c>
    </row>
    <row r="199" spans="1:15" ht="15.95" customHeight="1" x14ac:dyDescent="0.2">
      <c r="A199" s="30"/>
      <c r="B199" s="46"/>
      <c r="C199" s="41"/>
      <c r="D199" s="41"/>
      <c r="E199" s="90"/>
      <c r="F199" s="90"/>
      <c r="G199" s="90"/>
      <c r="H199" s="89">
        <f t="shared" si="16"/>
        <v>0</v>
      </c>
      <c r="I199" s="90">
        <f>SUM(H198)</f>
        <v>4.1599999999999993</v>
      </c>
      <c r="J199" s="90"/>
      <c r="K199" s="157"/>
      <c r="L199" s="157"/>
      <c r="M199" s="158"/>
      <c r="O199" s="82">
        <f t="shared" si="17"/>
        <v>0</v>
      </c>
    </row>
    <row r="200" spans="1:15" ht="17.100000000000001" customHeight="1" x14ac:dyDescent="0.2">
      <c r="A200" s="30" t="s">
        <v>153</v>
      </c>
      <c r="B200" s="39" t="s">
        <v>288</v>
      </c>
      <c r="C200" s="32" t="s">
        <v>4</v>
      </c>
      <c r="D200" s="32"/>
      <c r="E200" s="89"/>
      <c r="F200" s="89"/>
      <c r="G200" s="89"/>
      <c r="H200" s="89"/>
      <c r="I200" s="89"/>
      <c r="J200" s="89">
        <f>J173</f>
        <v>639.68250000000012</v>
      </c>
      <c r="K200" s="160">
        <f>K173</f>
        <v>645</v>
      </c>
      <c r="L200" s="157">
        <v>120</v>
      </c>
      <c r="M200" s="158">
        <f>+L200*K200</f>
        <v>77400</v>
      </c>
      <c r="O200" s="82">
        <f t="shared" si="17"/>
        <v>5.3174999999998818</v>
      </c>
    </row>
    <row r="201" spans="1:15" ht="17.100000000000001" customHeight="1" x14ac:dyDescent="0.2">
      <c r="A201" s="30" t="s">
        <v>154</v>
      </c>
      <c r="B201" s="39" t="s">
        <v>80</v>
      </c>
      <c r="C201" s="32" t="s">
        <v>4</v>
      </c>
      <c r="D201" s="32"/>
      <c r="E201" s="89"/>
      <c r="F201" s="89"/>
      <c r="G201" s="89"/>
      <c r="H201" s="89"/>
      <c r="I201" s="89"/>
      <c r="J201" s="89">
        <f>SUM(I205:I218)</f>
        <v>51.78</v>
      </c>
      <c r="K201" s="157">
        <v>52</v>
      </c>
      <c r="L201" s="157">
        <v>35</v>
      </c>
      <c r="M201" s="158">
        <f>+L201*K201</f>
        <v>1820</v>
      </c>
      <c r="O201" s="82">
        <f t="shared" si="17"/>
        <v>0.21999999999999886</v>
      </c>
    </row>
    <row r="202" spans="1:15" s="5" customFormat="1" ht="16.149999999999999" customHeight="1" x14ac:dyDescent="0.2">
      <c r="A202" s="30"/>
      <c r="B202" s="98" t="s">
        <v>464</v>
      </c>
      <c r="C202" s="32"/>
      <c r="D202" s="32"/>
      <c r="E202" s="89"/>
      <c r="F202" s="89"/>
      <c r="G202" s="89"/>
      <c r="H202" s="89"/>
      <c r="I202" s="89">
        <f>SUM(H202:H202)</f>
        <v>0</v>
      </c>
      <c r="K202" s="157"/>
      <c r="L202" s="157"/>
      <c r="M202" s="158"/>
      <c r="O202" s="82">
        <f t="shared" si="17"/>
        <v>0</v>
      </c>
    </row>
    <row r="203" spans="1:15" s="5" customFormat="1" ht="16.149999999999999" customHeight="1" x14ac:dyDescent="0.2">
      <c r="A203" s="30"/>
      <c r="B203" s="105" t="s">
        <v>474</v>
      </c>
      <c r="C203" s="32"/>
      <c r="D203" s="32"/>
      <c r="E203" s="89"/>
      <c r="F203" s="89"/>
      <c r="G203" s="89"/>
      <c r="H203" s="89"/>
      <c r="I203" s="89"/>
      <c r="K203" s="157"/>
      <c r="L203" s="157"/>
      <c r="M203" s="158"/>
      <c r="O203" s="82">
        <f t="shared" si="17"/>
        <v>0</v>
      </c>
    </row>
    <row r="204" spans="1:15" ht="15.95" customHeight="1" x14ac:dyDescent="0.2">
      <c r="A204" s="30"/>
      <c r="B204" s="46" t="s">
        <v>477</v>
      </c>
      <c r="C204" s="41"/>
      <c r="D204" s="41">
        <v>4</v>
      </c>
      <c r="E204" s="90">
        <v>1.8</v>
      </c>
      <c r="F204" s="90">
        <v>0.6</v>
      </c>
      <c r="G204" s="90"/>
      <c r="H204" s="89">
        <f t="shared" ref="H204:H217" si="18">PRODUCT(D204:G204)</f>
        <v>4.32</v>
      </c>
      <c r="I204" s="90"/>
      <c r="J204" s="90"/>
      <c r="K204" s="157"/>
      <c r="L204" s="157"/>
      <c r="M204" s="158"/>
      <c r="O204" s="82">
        <f t="shared" si="17"/>
        <v>0</v>
      </c>
    </row>
    <row r="205" spans="1:15" ht="15.95" customHeight="1" x14ac:dyDescent="0.2">
      <c r="A205" s="30"/>
      <c r="B205" s="105" t="s">
        <v>475</v>
      </c>
      <c r="C205" s="41"/>
      <c r="D205" s="41"/>
      <c r="E205" s="90"/>
      <c r="F205" s="90"/>
      <c r="G205" s="90"/>
      <c r="H205" s="89">
        <f t="shared" si="18"/>
        <v>0</v>
      </c>
      <c r="I205" s="90"/>
      <c r="J205" s="90"/>
      <c r="K205" s="157"/>
      <c r="L205" s="157"/>
      <c r="M205" s="158"/>
      <c r="O205" s="82">
        <f t="shared" si="17"/>
        <v>0</v>
      </c>
    </row>
    <row r="206" spans="1:15" ht="15.95" customHeight="1" x14ac:dyDescent="0.2">
      <c r="A206" s="30"/>
      <c r="B206" s="46"/>
      <c r="C206" s="41"/>
      <c r="D206" s="41">
        <v>5</v>
      </c>
      <c r="E206" s="90">
        <v>1.8</v>
      </c>
      <c r="F206" s="90">
        <v>0.6</v>
      </c>
      <c r="G206" s="90"/>
      <c r="H206" s="89">
        <f t="shared" si="18"/>
        <v>5.3999999999999995</v>
      </c>
      <c r="I206" s="90"/>
      <c r="J206" s="90"/>
      <c r="K206" s="157"/>
      <c r="L206" s="157"/>
      <c r="M206" s="158"/>
      <c r="O206" s="82">
        <f t="shared" si="17"/>
        <v>0</v>
      </c>
    </row>
    <row r="207" spans="1:15" ht="15.95" customHeight="1" x14ac:dyDescent="0.2">
      <c r="A207" s="30"/>
      <c r="B207" s="46"/>
      <c r="C207" s="41"/>
      <c r="D207" s="41"/>
      <c r="E207" s="90"/>
      <c r="F207" s="90"/>
      <c r="G207" s="90"/>
      <c r="H207" s="89">
        <f t="shared" si="18"/>
        <v>0</v>
      </c>
      <c r="I207" s="90">
        <f>SUM(H204:H206)</f>
        <v>9.7199999999999989</v>
      </c>
      <c r="J207" s="90"/>
      <c r="K207" s="157"/>
      <c r="L207" s="157"/>
      <c r="M207" s="158"/>
      <c r="O207" s="82">
        <f t="shared" si="17"/>
        <v>0</v>
      </c>
    </row>
    <row r="208" spans="1:15" s="5" customFormat="1" ht="16.149999999999999" customHeight="1" x14ac:dyDescent="0.2">
      <c r="A208" s="30"/>
      <c r="B208" s="98" t="s">
        <v>465</v>
      </c>
      <c r="C208" s="32"/>
      <c r="D208" s="32"/>
      <c r="E208" s="89"/>
      <c r="F208" s="89"/>
      <c r="G208" s="89"/>
      <c r="H208" s="89">
        <f t="shared" si="18"/>
        <v>0</v>
      </c>
      <c r="I208" s="89"/>
      <c r="J208" s="89"/>
      <c r="K208" s="157"/>
      <c r="L208" s="157"/>
      <c r="M208" s="158"/>
      <c r="O208" s="82">
        <f t="shared" si="17"/>
        <v>0</v>
      </c>
    </row>
    <row r="209" spans="1:15" ht="15.95" customHeight="1" x14ac:dyDescent="0.2">
      <c r="A209" s="30"/>
      <c r="B209" s="46" t="s">
        <v>478</v>
      </c>
      <c r="C209" s="41"/>
      <c r="D209" s="41">
        <v>1</v>
      </c>
      <c r="E209" s="90">
        <v>3.1</v>
      </c>
      <c r="F209" s="90">
        <v>0.6</v>
      </c>
      <c r="G209" s="90"/>
      <c r="H209" s="89">
        <f t="shared" si="18"/>
        <v>1.8599999999999999</v>
      </c>
      <c r="I209" s="90"/>
      <c r="J209" s="90"/>
      <c r="K209" s="157"/>
      <c r="L209" s="157"/>
      <c r="M209" s="158"/>
      <c r="O209" s="82">
        <f t="shared" si="17"/>
        <v>0</v>
      </c>
    </row>
    <row r="210" spans="1:15" ht="15.95" customHeight="1" x14ac:dyDescent="0.2">
      <c r="A210" s="30"/>
      <c r="B210" s="46" t="s">
        <v>479</v>
      </c>
      <c r="C210" s="41"/>
      <c r="D210" s="41">
        <f>1</f>
        <v>1</v>
      </c>
      <c r="E210" s="90">
        <v>1.8</v>
      </c>
      <c r="F210" s="90">
        <v>0.6</v>
      </c>
      <c r="G210" s="90"/>
      <c r="H210" s="89">
        <f t="shared" si="18"/>
        <v>1.08</v>
      </c>
      <c r="I210" s="90"/>
      <c r="J210" s="90"/>
      <c r="K210" s="157"/>
      <c r="L210" s="157"/>
      <c r="M210" s="158"/>
      <c r="O210" s="82">
        <f t="shared" si="17"/>
        <v>0</v>
      </c>
    </row>
    <row r="211" spans="1:15" ht="15.95" customHeight="1" x14ac:dyDescent="0.2">
      <c r="A211" s="30"/>
      <c r="B211" s="46" t="s">
        <v>531</v>
      </c>
      <c r="C211" s="41"/>
      <c r="D211" s="32">
        <v>1</v>
      </c>
      <c r="E211" s="89">
        <v>1.3</v>
      </c>
      <c r="F211" s="89">
        <v>0.6</v>
      </c>
      <c r="G211" s="89"/>
      <c r="H211" s="89">
        <f t="shared" si="18"/>
        <v>0.78</v>
      </c>
      <c r="I211" s="90"/>
      <c r="J211" s="90"/>
      <c r="K211" s="157"/>
      <c r="L211" s="157"/>
      <c r="M211" s="158"/>
      <c r="O211" s="82">
        <f t="shared" si="17"/>
        <v>0</v>
      </c>
    </row>
    <row r="212" spans="1:15" ht="15.95" customHeight="1" x14ac:dyDescent="0.2">
      <c r="A212" s="30"/>
      <c r="B212" s="46"/>
      <c r="C212" s="41"/>
      <c r="D212" s="41"/>
      <c r="E212" s="90"/>
      <c r="F212" s="90"/>
      <c r="G212" s="90"/>
      <c r="H212" s="89">
        <f t="shared" si="18"/>
        <v>0</v>
      </c>
      <c r="I212" s="90">
        <f>SUM(H209:H211)</f>
        <v>3.7199999999999998</v>
      </c>
      <c r="J212" s="90"/>
      <c r="K212" s="157"/>
      <c r="L212" s="157"/>
      <c r="M212" s="158"/>
      <c r="O212" s="82">
        <f t="shared" si="17"/>
        <v>0</v>
      </c>
    </row>
    <row r="213" spans="1:15" s="5" customFormat="1" ht="16.149999999999999" customHeight="1" x14ac:dyDescent="0.2">
      <c r="A213" s="30"/>
      <c r="B213" s="98" t="s">
        <v>530</v>
      </c>
      <c r="C213" s="32"/>
      <c r="D213" s="32"/>
      <c r="E213" s="89"/>
      <c r="F213" s="89"/>
      <c r="G213" s="89"/>
      <c r="H213" s="89">
        <f t="shared" si="18"/>
        <v>0</v>
      </c>
      <c r="I213" s="89"/>
      <c r="J213" s="89"/>
      <c r="K213" s="157"/>
      <c r="L213" s="157"/>
      <c r="M213" s="158"/>
      <c r="O213" s="82">
        <f t="shared" si="17"/>
        <v>0</v>
      </c>
    </row>
    <row r="214" spans="1:15" s="5" customFormat="1" ht="16.149999999999999" customHeight="1" x14ac:dyDescent="0.2">
      <c r="A214" s="30"/>
      <c r="B214" s="36" t="s">
        <v>533</v>
      </c>
      <c r="C214" s="32"/>
      <c r="D214" s="32">
        <v>2</v>
      </c>
      <c r="E214" s="89">
        <v>1.95</v>
      </c>
      <c r="F214" s="89">
        <v>0.6</v>
      </c>
      <c r="G214" s="89"/>
      <c r="H214" s="89">
        <f t="shared" si="18"/>
        <v>2.34</v>
      </c>
      <c r="I214" s="89"/>
      <c r="J214" s="89"/>
      <c r="K214" s="157"/>
      <c r="L214" s="157"/>
      <c r="M214" s="158"/>
      <c r="O214" s="82">
        <f t="shared" si="17"/>
        <v>0</v>
      </c>
    </row>
    <row r="215" spans="1:15" s="5" customFormat="1" ht="16.149999999999999" customHeight="1" x14ac:dyDescent="0.2">
      <c r="A215" s="30"/>
      <c r="B215" s="36"/>
      <c r="C215" s="32"/>
      <c r="D215" s="32"/>
      <c r="E215" s="89"/>
      <c r="F215" s="89"/>
      <c r="G215" s="89"/>
      <c r="H215" s="89"/>
      <c r="I215" s="128">
        <f>SUM(H214:H215)</f>
        <v>2.34</v>
      </c>
      <c r="J215" s="89"/>
      <c r="K215" s="157"/>
      <c r="L215" s="157"/>
      <c r="M215" s="158"/>
      <c r="O215" s="82">
        <f t="shared" si="17"/>
        <v>0</v>
      </c>
    </row>
    <row r="216" spans="1:15" s="5" customFormat="1" ht="16.149999999999999" customHeight="1" x14ac:dyDescent="0.2">
      <c r="A216" s="30"/>
      <c r="B216" s="98" t="s">
        <v>466</v>
      </c>
      <c r="C216" s="32"/>
      <c r="D216" s="32"/>
      <c r="E216" s="89"/>
      <c r="F216" s="89"/>
      <c r="G216" s="89"/>
      <c r="H216" s="89">
        <f t="shared" si="18"/>
        <v>0</v>
      </c>
      <c r="I216" s="89"/>
      <c r="J216" s="89"/>
      <c r="K216" s="157"/>
      <c r="L216" s="157"/>
      <c r="M216" s="158"/>
      <c r="O216" s="82">
        <f t="shared" si="17"/>
        <v>0</v>
      </c>
    </row>
    <row r="217" spans="1:15" ht="15.95" customHeight="1" x14ac:dyDescent="0.2">
      <c r="A217" s="30"/>
      <c r="B217" s="46"/>
      <c r="C217" s="41"/>
      <c r="D217" s="41">
        <v>12</v>
      </c>
      <c r="E217" s="90">
        <v>2</v>
      </c>
      <c r="F217" s="90">
        <v>1.5</v>
      </c>
      <c r="G217" s="90"/>
      <c r="H217" s="89">
        <f t="shared" si="18"/>
        <v>36</v>
      </c>
      <c r="I217" s="90"/>
      <c r="J217" s="90"/>
      <c r="K217" s="157"/>
      <c r="L217" s="157"/>
      <c r="M217" s="158"/>
      <c r="O217" s="82">
        <f t="shared" si="17"/>
        <v>0</v>
      </c>
    </row>
    <row r="218" spans="1:15" ht="15.95" customHeight="1" x14ac:dyDescent="0.2">
      <c r="A218" s="40"/>
      <c r="B218" s="63"/>
      <c r="C218" s="115"/>
      <c r="D218" s="115"/>
      <c r="E218" s="108"/>
      <c r="F218" s="108"/>
      <c r="G218" s="108"/>
      <c r="H218" s="108"/>
      <c r="I218" s="108">
        <f>SUM(H217)</f>
        <v>36</v>
      </c>
      <c r="J218" s="108"/>
      <c r="K218" s="161"/>
      <c r="L218" s="162"/>
      <c r="M218" s="158"/>
      <c r="O218" s="82">
        <f t="shared" si="17"/>
        <v>0</v>
      </c>
    </row>
    <row r="219" spans="1:15" s="5" customFormat="1" ht="18" customHeight="1" x14ac:dyDescent="0.2">
      <c r="A219" s="250" t="s">
        <v>98</v>
      </c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2"/>
      <c r="M219" s="159">
        <f>SUM(M172:M201)</f>
        <v>98570</v>
      </c>
      <c r="O219" s="82">
        <f t="shared" si="17"/>
        <v>0</v>
      </c>
    </row>
    <row r="220" spans="1:15" ht="18" customHeight="1" x14ac:dyDescent="0.2">
      <c r="A220" s="24"/>
      <c r="B220" s="25" t="s">
        <v>155</v>
      </c>
      <c r="C220" s="26"/>
      <c r="D220" s="26"/>
      <c r="E220" s="88"/>
      <c r="F220" s="88"/>
      <c r="G220" s="88"/>
      <c r="H220" s="88"/>
      <c r="I220" s="88"/>
      <c r="J220" s="88"/>
      <c r="K220" s="155"/>
      <c r="L220" s="155"/>
      <c r="M220" s="158"/>
      <c r="O220" s="82">
        <f t="shared" si="17"/>
        <v>0</v>
      </c>
    </row>
    <row r="221" spans="1:15" ht="17.100000000000001" customHeight="1" x14ac:dyDescent="0.2">
      <c r="A221" s="30" t="s">
        <v>156</v>
      </c>
      <c r="B221" s="39" t="s">
        <v>256</v>
      </c>
      <c r="C221" s="32" t="s">
        <v>5</v>
      </c>
      <c r="D221" s="32"/>
      <c r="E221" s="89"/>
      <c r="F221" s="89"/>
      <c r="G221" s="89"/>
      <c r="H221" s="89"/>
      <c r="I221" s="89"/>
      <c r="J221" s="89">
        <f>SUM(I224:I261)</f>
        <v>100.84299999999999</v>
      </c>
      <c r="K221" s="157">
        <v>60</v>
      </c>
      <c r="L221" s="157">
        <v>1200</v>
      </c>
      <c r="M221" s="158">
        <f>+L221*K221</f>
        <v>72000</v>
      </c>
      <c r="O221" s="82">
        <f t="shared" si="17"/>
        <v>-40.842999999999989</v>
      </c>
    </row>
    <row r="222" spans="1:15" s="5" customFormat="1" ht="16.149999999999999" customHeight="1" x14ac:dyDescent="0.2">
      <c r="A222" s="30"/>
      <c r="B222" s="98" t="s">
        <v>464</v>
      </c>
      <c r="C222" s="32"/>
      <c r="D222" s="32"/>
      <c r="E222" s="89"/>
      <c r="F222" s="89"/>
      <c r="G222" s="89"/>
      <c r="H222" s="89"/>
      <c r="I222" s="89"/>
      <c r="K222" s="157"/>
      <c r="L222" s="157"/>
      <c r="M222" s="158"/>
      <c r="O222" s="82">
        <f t="shared" si="17"/>
        <v>0</v>
      </c>
    </row>
    <row r="223" spans="1:15" s="5" customFormat="1" ht="16.149999999999999" customHeight="1" x14ac:dyDescent="0.2">
      <c r="A223" s="30"/>
      <c r="B223" s="36" t="s">
        <v>461</v>
      </c>
      <c r="C223" s="32"/>
      <c r="D223" s="32">
        <v>2</v>
      </c>
      <c r="E223" s="89">
        <f>43.7+0.35</f>
        <v>44.050000000000004</v>
      </c>
      <c r="F223" s="89">
        <v>0.45</v>
      </c>
      <c r="G223" s="89">
        <v>0.35</v>
      </c>
      <c r="H223" s="89">
        <f>PRODUCT(D223:G223)</f>
        <v>13.87575</v>
      </c>
      <c r="I223" s="89"/>
      <c r="J223" s="89"/>
      <c r="K223" s="157"/>
      <c r="L223" s="157"/>
      <c r="M223" s="158"/>
      <c r="O223" s="82">
        <f t="shared" si="17"/>
        <v>0</v>
      </c>
    </row>
    <row r="224" spans="1:15" s="5" customFormat="1" ht="16.149999999999999" customHeight="1" x14ac:dyDescent="0.2">
      <c r="A224" s="30"/>
      <c r="B224" s="36"/>
      <c r="C224" s="32"/>
      <c r="D224" s="32">
        <v>4</v>
      </c>
      <c r="E224" s="89">
        <f>15.2-0.5*2</f>
        <v>14.2</v>
      </c>
      <c r="F224" s="89">
        <v>0.45</v>
      </c>
      <c r="G224" s="89">
        <v>0.35</v>
      </c>
      <c r="H224" s="89">
        <f t="shared" ref="H224:H258" si="19">PRODUCT(D224:G224)</f>
        <v>8.9459999999999997</v>
      </c>
      <c r="I224" s="89"/>
      <c r="J224" s="89"/>
      <c r="K224" s="157"/>
      <c r="L224" s="157"/>
      <c r="M224" s="158"/>
      <c r="O224" s="82">
        <f t="shared" si="17"/>
        <v>0</v>
      </c>
    </row>
    <row r="225" spans="1:15" s="5" customFormat="1" ht="16.149999999999999" customHeight="1" x14ac:dyDescent="0.2">
      <c r="A225" s="30"/>
      <c r="B225" s="36" t="s">
        <v>462</v>
      </c>
      <c r="C225" s="32"/>
      <c r="D225" s="32">
        <v>30</v>
      </c>
      <c r="E225" s="89">
        <v>1.2</v>
      </c>
      <c r="F225" s="89">
        <v>1.2</v>
      </c>
      <c r="G225" s="89">
        <v>0.35</v>
      </c>
      <c r="H225" s="89">
        <f t="shared" si="19"/>
        <v>15.119999999999997</v>
      </c>
      <c r="I225" s="89"/>
      <c r="J225" s="89"/>
      <c r="K225" s="157"/>
      <c r="L225" s="157"/>
      <c r="M225" s="158"/>
      <c r="O225" s="82">
        <f t="shared" si="17"/>
        <v>0</v>
      </c>
    </row>
    <row r="226" spans="1:15" s="5" customFormat="1" ht="16.149999999999999" customHeight="1" x14ac:dyDescent="0.2">
      <c r="A226" s="30"/>
      <c r="B226" s="36" t="s">
        <v>463</v>
      </c>
      <c r="C226" s="32"/>
      <c r="D226" s="32">
        <v>2</v>
      </c>
      <c r="E226" s="89">
        <f>43.7+0.35-8*0.25</f>
        <v>42.050000000000004</v>
      </c>
      <c r="F226" s="89">
        <v>0.2</v>
      </c>
      <c r="G226" s="89">
        <v>0.5</v>
      </c>
      <c r="H226" s="89">
        <f t="shared" si="19"/>
        <v>8.4100000000000019</v>
      </c>
      <c r="I226" s="89"/>
      <c r="J226" s="89"/>
      <c r="K226" s="157"/>
      <c r="L226" s="157"/>
      <c r="M226" s="158"/>
      <c r="O226" s="82">
        <f t="shared" si="17"/>
        <v>0</v>
      </c>
    </row>
    <row r="227" spans="1:15" s="5" customFormat="1" ht="16.149999999999999" customHeight="1" x14ac:dyDescent="0.2">
      <c r="A227" s="30"/>
      <c r="B227" s="36"/>
      <c r="C227" s="32"/>
      <c r="D227" s="32">
        <v>7</v>
      </c>
      <c r="E227" s="89">
        <f>11.25-0.25*2</f>
        <v>10.75</v>
      </c>
      <c r="F227" s="89">
        <v>0.2</v>
      </c>
      <c r="G227" s="89">
        <v>0.5</v>
      </c>
      <c r="H227" s="89">
        <f t="shared" si="19"/>
        <v>7.5250000000000004</v>
      </c>
      <c r="I227" s="89"/>
      <c r="J227" s="89"/>
      <c r="K227" s="157"/>
      <c r="L227" s="157"/>
      <c r="M227" s="158"/>
      <c r="O227" s="82">
        <f t="shared" si="17"/>
        <v>0</v>
      </c>
    </row>
    <row r="228" spans="1:15" s="5" customFormat="1" ht="16.149999999999999" customHeight="1" x14ac:dyDescent="0.2">
      <c r="A228" s="30"/>
      <c r="B228" s="36" t="s">
        <v>470</v>
      </c>
      <c r="C228" s="32"/>
      <c r="D228" s="32">
        <f>+D225</f>
        <v>30</v>
      </c>
      <c r="E228" s="89">
        <v>0.3</v>
      </c>
      <c r="F228" s="89">
        <v>0.3</v>
      </c>
      <c r="G228" s="89">
        <v>1.3</v>
      </c>
      <c r="H228" s="89">
        <f t="shared" si="19"/>
        <v>3.51</v>
      </c>
      <c r="I228" s="89"/>
      <c r="J228" s="89"/>
      <c r="K228" s="157"/>
      <c r="L228" s="157"/>
      <c r="M228" s="158"/>
      <c r="O228" s="82">
        <f t="shared" si="17"/>
        <v>0</v>
      </c>
    </row>
    <row r="229" spans="1:15" s="5" customFormat="1" ht="16.149999999999999" customHeight="1" x14ac:dyDescent="0.2">
      <c r="A229" s="30"/>
      <c r="B229" s="36"/>
      <c r="C229" s="32"/>
      <c r="D229" s="32"/>
      <c r="E229" s="89"/>
      <c r="F229" s="89"/>
      <c r="G229" s="89"/>
      <c r="H229" s="89">
        <f t="shared" si="19"/>
        <v>0</v>
      </c>
      <c r="I229" s="89">
        <f>SUM(H223:H227)</f>
        <v>53.876750000000001</v>
      </c>
      <c r="J229" s="89"/>
      <c r="K229" s="157"/>
      <c r="L229" s="157"/>
      <c r="M229" s="158"/>
      <c r="O229" s="82">
        <f t="shared" si="17"/>
        <v>0</v>
      </c>
    </row>
    <row r="230" spans="1:15" s="5" customFormat="1" ht="16.149999999999999" customHeight="1" x14ac:dyDescent="0.2">
      <c r="A230" s="30"/>
      <c r="B230" s="98" t="s">
        <v>465</v>
      </c>
      <c r="C230" s="32"/>
      <c r="D230" s="32"/>
      <c r="E230" s="89"/>
      <c r="F230" s="89"/>
      <c r="G230" s="89"/>
      <c r="H230" s="89">
        <f t="shared" si="19"/>
        <v>0</v>
      </c>
      <c r="I230" s="89"/>
      <c r="J230" s="89"/>
      <c r="K230" s="157"/>
      <c r="L230" s="157"/>
      <c r="M230" s="158"/>
      <c r="O230" s="82">
        <f t="shared" si="17"/>
        <v>0</v>
      </c>
    </row>
    <row r="231" spans="1:15" s="5" customFormat="1" ht="16.149999999999999" customHeight="1" x14ac:dyDescent="0.2">
      <c r="A231" s="30"/>
      <c r="B231" s="36" t="s">
        <v>461</v>
      </c>
      <c r="C231" s="32"/>
      <c r="D231" s="32">
        <v>2</v>
      </c>
      <c r="E231" s="89">
        <v>10.9</v>
      </c>
      <c r="F231" s="89">
        <v>0.45</v>
      </c>
      <c r="G231" s="89">
        <v>0.35</v>
      </c>
      <c r="H231" s="89">
        <f t="shared" si="19"/>
        <v>3.4335</v>
      </c>
      <c r="I231" s="89"/>
      <c r="J231" s="89"/>
      <c r="K231" s="157"/>
      <c r="L231" s="157"/>
      <c r="M231" s="158"/>
      <c r="O231" s="82">
        <f t="shared" si="17"/>
        <v>0</v>
      </c>
    </row>
    <row r="232" spans="1:15" s="5" customFormat="1" ht="16.149999999999999" customHeight="1" x14ac:dyDescent="0.2">
      <c r="A232" s="30"/>
      <c r="B232" s="36"/>
      <c r="C232" s="32"/>
      <c r="D232" s="32">
        <v>2</v>
      </c>
      <c r="E232" s="89">
        <f>9.6-0.5*2</f>
        <v>8.6</v>
      </c>
      <c r="F232" s="89">
        <v>0.45</v>
      </c>
      <c r="G232" s="89">
        <v>0.35</v>
      </c>
      <c r="H232" s="89">
        <f t="shared" si="19"/>
        <v>2.7090000000000001</v>
      </c>
      <c r="I232" s="89"/>
      <c r="J232" s="89"/>
      <c r="K232" s="157"/>
      <c r="L232" s="157"/>
      <c r="M232" s="158"/>
      <c r="O232" s="82">
        <f t="shared" si="17"/>
        <v>0</v>
      </c>
    </row>
    <row r="233" spans="1:15" s="5" customFormat="1" ht="16.149999999999999" customHeight="1" x14ac:dyDescent="0.2">
      <c r="A233" s="30"/>
      <c r="B233" s="36" t="s">
        <v>462</v>
      </c>
      <c r="C233" s="32"/>
      <c r="D233" s="32">
        <v>15</v>
      </c>
      <c r="E233" s="89">
        <v>1.2</v>
      </c>
      <c r="F233" s="89">
        <v>1.2</v>
      </c>
      <c r="G233" s="89">
        <v>0.35</v>
      </c>
      <c r="H233" s="89">
        <f t="shared" ref="H233" si="20">PRODUCT(D233:G233)</f>
        <v>7.5599999999999987</v>
      </c>
      <c r="I233" s="89"/>
      <c r="J233" s="89"/>
      <c r="K233" s="157"/>
      <c r="L233" s="157"/>
      <c r="M233" s="158"/>
      <c r="O233" s="82">
        <f t="shared" si="17"/>
        <v>0</v>
      </c>
    </row>
    <row r="234" spans="1:15" s="5" customFormat="1" ht="16.149999999999999" customHeight="1" x14ac:dyDescent="0.2">
      <c r="A234" s="30"/>
      <c r="B234" s="36" t="s">
        <v>463</v>
      </c>
      <c r="C234" s="32"/>
      <c r="D234" s="32">
        <v>1</v>
      </c>
      <c r="E234" s="89">
        <f>4.7-0.25*2</f>
        <v>4.2</v>
      </c>
      <c r="F234" s="89">
        <v>0.2</v>
      </c>
      <c r="G234" s="89">
        <v>0.5</v>
      </c>
      <c r="H234" s="89">
        <f t="shared" si="19"/>
        <v>0.42000000000000004</v>
      </c>
      <c r="I234" s="89"/>
      <c r="J234" s="89"/>
      <c r="K234" s="157"/>
      <c r="L234" s="157"/>
      <c r="M234" s="158"/>
      <c r="O234" s="82">
        <f t="shared" si="17"/>
        <v>0</v>
      </c>
    </row>
    <row r="235" spans="1:15" s="5" customFormat="1" ht="16.149999999999999" customHeight="1" x14ac:dyDescent="0.2">
      <c r="A235" s="30"/>
      <c r="B235" s="36"/>
      <c r="C235" s="32"/>
      <c r="D235" s="32">
        <v>1</v>
      </c>
      <c r="E235" s="89">
        <v>4.3</v>
      </c>
      <c r="F235" s="89">
        <v>0.2</v>
      </c>
      <c r="G235" s="89">
        <v>0.5</v>
      </c>
      <c r="H235" s="89">
        <f t="shared" si="19"/>
        <v>0.43</v>
      </c>
      <c r="I235" s="89"/>
      <c r="J235" s="89"/>
      <c r="K235" s="157"/>
      <c r="L235" s="157"/>
      <c r="M235" s="158"/>
      <c r="O235" s="82">
        <f t="shared" si="17"/>
        <v>0</v>
      </c>
    </row>
    <row r="236" spans="1:15" s="5" customFormat="1" ht="16.149999999999999" customHeight="1" x14ac:dyDescent="0.2">
      <c r="A236" s="30"/>
      <c r="B236" s="36"/>
      <c r="C236" s="32"/>
      <c r="D236" s="32">
        <v>1</v>
      </c>
      <c r="E236" s="89">
        <f>3.6-0.25</f>
        <v>3.35</v>
      </c>
      <c r="F236" s="89">
        <v>0.2</v>
      </c>
      <c r="G236" s="89">
        <v>0.5</v>
      </c>
      <c r="H236" s="89">
        <f t="shared" si="19"/>
        <v>0.33500000000000002</v>
      </c>
      <c r="I236" s="89"/>
      <c r="J236" s="89"/>
      <c r="K236" s="157"/>
      <c r="L236" s="157"/>
      <c r="M236" s="158"/>
      <c r="O236" s="82">
        <f t="shared" si="17"/>
        <v>0</v>
      </c>
    </row>
    <row r="237" spans="1:15" s="5" customFormat="1" ht="16.149999999999999" customHeight="1" x14ac:dyDescent="0.2">
      <c r="A237" s="30"/>
      <c r="B237" s="36" t="s">
        <v>470</v>
      </c>
      <c r="C237" s="32"/>
      <c r="D237" s="32">
        <f>+D233</f>
        <v>15</v>
      </c>
      <c r="E237" s="89">
        <v>0.3</v>
      </c>
      <c r="F237" s="89">
        <v>0.3</v>
      </c>
      <c r="G237" s="89">
        <v>1.3</v>
      </c>
      <c r="H237" s="89">
        <f t="shared" ref="H237" si="21">PRODUCT(D237:G237)</f>
        <v>1.7549999999999999</v>
      </c>
      <c r="I237" s="89"/>
      <c r="J237" s="89"/>
      <c r="K237" s="157"/>
      <c r="L237" s="157"/>
      <c r="M237" s="158"/>
      <c r="O237" s="82">
        <f t="shared" si="17"/>
        <v>0</v>
      </c>
    </row>
    <row r="238" spans="1:15" s="5" customFormat="1" ht="16.149999999999999" customHeight="1" x14ac:dyDescent="0.2">
      <c r="A238" s="30"/>
      <c r="B238" s="36"/>
      <c r="C238" s="32"/>
      <c r="D238" s="32"/>
      <c r="E238" s="89"/>
      <c r="F238" s="89"/>
      <c r="G238" s="89"/>
      <c r="H238" s="89">
        <f t="shared" si="19"/>
        <v>0</v>
      </c>
      <c r="I238" s="89">
        <f>SUM(H231:H237)</f>
        <v>16.642499999999998</v>
      </c>
      <c r="J238" s="89"/>
      <c r="K238" s="157"/>
      <c r="L238" s="157"/>
      <c r="M238" s="158"/>
      <c r="O238" s="82">
        <f t="shared" si="17"/>
        <v>0</v>
      </c>
    </row>
    <row r="239" spans="1:15" s="5" customFormat="1" ht="16.149999999999999" customHeight="1" x14ac:dyDescent="0.2">
      <c r="A239" s="30"/>
      <c r="B239" s="98" t="s">
        <v>530</v>
      </c>
      <c r="C239" s="32"/>
      <c r="D239" s="32"/>
      <c r="E239" s="89"/>
      <c r="F239" s="89"/>
      <c r="G239" s="89"/>
      <c r="H239" s="89">
        <f t="shared" si="19"/>
        <v>0</v>
      </c>
      <c r="I239" s="89"/>
      <c r="J239" s="89"/>
      <c r="K239" s="157"/>
      <c r="L239" s="157"/>
      <c r="M239" s="158"/>
      <c r="O239" s="82">
        <f t="shared" si="17"/>
        <v>0</v>
      </c>
    </row>
    <row r="240" spans="1:15" s="5" customFormat="1" ht="16.149999999999999" customHeight="1" x14ac:dyDescent="0.2">
      <c r="A240" s="30"/>
      <c r="B240" s="36" t="s">
        <v>461</v>
      </c>
      <c r="C240" s="32"/>
      <c r="D240" s="32">
        <v>2</v>
      </c>
      <c r="E240" s="89">
        <v>11.3</v>
      </c>
      <c r="F240" s="89">
        <v>0.45</v>
      </c>
      <c r="G240" s="89">
        <v>0.35</v>
      </c>
      <c r="H240" s="89">
        <f t="shared" si="19"/>
        <v>3.5595000000000003</v>
      </c>
      <c r="I240" s="89"/>
      <c r="J240" s="89"/>
      <c r="K240" s="157"/>
      <c r="L240" s="157"/>
      <c r="M240" s="158"/>
      <c r="O240" s="82">
        <f t="shared" si="17"/>
        <v>0</v>
      </c>
    </row>
    <row r="241" spans="1:15" s="5" customFormat="1" ht="16.149999999999999" customHeight="1" x14ac:dyDescent="0.2">
      <c r="A241" s="30"/>
      <c r="B241" s="36"/>
      <c r="C241" s="32"/>
      <c r="D241" s="32">
        <v>2</v>
      </c>
      <c r="E241" s="89">
        <f>9.75-0.5*2</f>
        <v>8.75</v>
      </c>
      <c r="F241" s="89">
        <v>0.45</v>
      </c>
      <c r="G241" s="89">
        <v>0.35</v>
      </c>
      <c r="H241" s="89">
        <f t="shared" si="19"/>
        <v>2.7562499999999996</v>
      </c>
      <c r="I241" s="89"/>
      <c r="J241" s="89"/>
      <c r="K241" s="157"/>
      <c r="L241" s="157"/>
      <c r="M241" s="158"/>
      <c r="O241" s="82">
        <f t="shared" si="17"/>
        <v>0</v>
      </c>
    </row>
    <row r="242" spans="1:15" s="5" customFormat="1" ht="16.149999999999999" customHeight="1" x14ac:dyDescent="0.2">
      <c r="A242" s="30"/>
      <c r="B242" s="36" t="s">
        <v>462</v>
      </c>
      <c r="C242" s="32"/>
      <c r="D242" s="32">
        <v>18</v>
      </c>
      <c r="E242" s="89">
        <v>1.2</v>
      </c>
      <c r="F242" s="89">
        <v>1.2</v>
      </c>
      <c r="G242" s="89">
        <v>0.35</v>
      </c>
      <c r="H242" s="89">
        <f t="shared" ref="H242" si="22">PRODUCT(D242:G242)</f>
        <v>9.0719999999999992</v>
      </c>
      <c r="I242" s="89"/>
      <c r="J242" s="89"/>
      <c r="K242" s="157"/>
      <c r="L242" s="157"/>
      <c r="M242" s="158"/>
      <c r="O242" s="82">
        <f t="shared" si="17"/>
        <v>0</v>
      </c>
    </row>
    <row r="243" spans="1:15" s="5" customFormat="1" ht="16.149999999999999" customHeight="1" x14ac:dyDescent="0.2">
      <c r="A243" s="30"/>
      <c r="B243" s="36" t="s">
        <v>463</v>
      </c>
      <c r="C243" s="32"/>
      <c r="D243" s="32">
        <v>2</v>
      </c>
      <c r="E243" s="89">
        <f>8.6-0.25*3</f>
        <v>7.85</v>
      </c>
      <c r="F243" s="89">
        <v>0.2</v>
      </c>
      <c r="G243" s="89">
        <v>0.5</v>
      </c>
      <c r="H243" s="89">
        <f t="shared" si="19"/>
        <v>1.57</v>
      </c>
      <c r="I243" s="89"/>
      <c r="J243" s="89"/>
      <c r="K243" s="157"/>
      <c r="L243" s="157"/>
      <c r="M243" s="158"/>
      <c r="O243" s="82">
        <f t="shared" si="17"/>
        <v>0</v>
      </c>
    </row>
    <row r="244" spans="1:15" s="5" customFormat="1" ht="16.149999999999999" customHeight="1" x14ac:dyDescent="0.2">
      <c r="A244" s="30"/>
      <c r="B244" s="36"/>
      <c r="C244" s="32"/>
      <c r="D244" s="32">
        <v>1</v>
      </c>
      <c r="E244" s="89">
        <f>9.15-0.25*5</f>
        <v>7.9</v>
      </c>
      <c r="F244" s="89">
        <v>0.2</v>
      </c>
      <c r="G244" s="89">
        <v>0.5</v>
      </c>
      <c r="H244" s="89">
        <f t="shared" si="19"/>
        <v>0.79</v>
      </c>
      <c r="I244" s="89"/>
      <c r="J244" s="89"/>
      <c r="K244" s="157"/>
      <c r="L244" s="157"/>
      <c r="M244" s="158"/>
      <c r="O244" s="82">
        <f t="shared" si="17"/>
        <v>0</v>
      </c>
    </row>
    <row r="245" spans="1:15" s="5" customFormat="1" ht="16.149999999999999" customHeight="1" x14ac:dyDescent="0.2">
      <c r="A245" s="30"/>
      <c r="B245" s="36"/>
      <c r="C245" s="32"/>
      <c r="D245" s="32">
        <v>1</v>
      </c>
      <c r="E245" s="89">
        <f>2.8-0.25</f>
        <v>2.5499999999999998</v>
      </c>
      <c r="F245" s="89">
        <v>0.2</v>
      </c>
      <c r="G245" s="89">
        <v>0.5</v>
      </c>
      <c r="H245" s="89">
        <f t="shared" si="19"/>
        <v>0.255</v>
      </c>
      <c r="I245" s="89"/>
      <c r="J245" s="89"/>
      <c r="K245" s="157"/>
      <c r="L245" s="157"/>
      <c r="M245" s="158"/>
      <c r="O245" s="82">
        <f t="shared" si="17"/>
        <v>0</v>
      </c>
    </row>
    <row r="246" spans="1:15" s="5" customFormat="1" ht="16.149999999999999" customHeight="1" x14ac:dyDescent="0.2">
      <c r="A246" s="30"/>
      <c r="B246" s="36" t="s">
        <v>470</v>
      </c>
      <c r="C246" s="32"/>
      <c r="D246" s="32">
        <f>+D242</f>
        <v>18</v>
      </c>
      <c r="E246" s="89">
        <v>0.3</v>
      </c>
      <c r="F246" s="89">
        <v>0.3</v>
      </c>
      <c r="G246" s="89">
        <v>1.3</v>
      </c>
      <c r="H246" s="89">
        <f t="shared" si="19"/>
        <v>2.1059999999999999</v>
      </c>
      <c r="I246" s="89"/>
      <c r="J246" s="89"/>
      <c r="K246" s="157"/>
      <c r="L246" s="157"/>
      <c r="M246" s="158"/>
      <c r="O246" s="82">
        <f t="shared" si="17"/>
        <v>0</v>
      </c>
    </row>
    <row r="247" spans="1:15" s="5" customFormat="1" ht="16.149999999999999" customHeight="1" x14ac:dyDescent="0.2">
      <c r="A247" s="30"/>
      <c r="B247" s="36"/>
      <c r="C247" s="32"/>
      <c r="D247" s="32"/>
      <c r="E247" s="89"/>
      <c r="F247" s="89"/>
      <c r="G247" s="89"/>
      <c r="H247" s="89">
        <f t="shared" si="19"/>
        <v>0</v>
      </c>
      <c r="I247" s="89">
        <f>SUM(H240:H245)</f>
        <v>18.002749999999995</v>
      </c>
      <c r="J247" s="89"/>
      <c r="K247" s="157"/>
      <c r="L247" s="157"/>
      <c r="M247" s="158"/>
      <c r="O247" s="82">
        <f t="shared" si="17"/>
        <v>0</v>
      </c>
    </row>
    <row r="248" spans="1:15" s="5" customFormat="1" ht="15.6" customHeight="1" x14ac:dyDescent="0.2">
      <c r="A248" s="30"/>
      <c r="B248" s="98" t="s">
        <v>466</v>
      </c>
      <c r="C248" s="32"/>
      <c r="D248" s="32"/>
      <c r="E248" s="89"/>
      <c r="F248" s="89"/>
      <c r="G248" s="89"/>
      <c r="H248" s="89">
        <f t="shared" si="19"/>
        <v>0</v>
      </c>
      <c r="I248" s="89"/>
      <c r="J248" s="89"/>
      <c r="K248" s="157"/>
      <c r="L248" s="157"/>
      <c r="M248" s="158"/>
      <c r="O248" s="82">
        <f t="shared" si="17"/>
        <v>0</v>
      </c>
    </row>
    <row r="249" spans="1:15" s="5" customFormat="1" ht="16.149999999999999" customHeight="1" x14ac:dyDescent="0.2">
      <c r="A249" s="30"/>
      <c r="B249" s="36" t="s">
        <v>461</v>
      </c>
      <c r="C249" s="32"/>
      <c r="D249" s="32">
        <v>2</v>
      </c>
      <c r="E249" s="89">
        <f>8.8+0.1*2</f>
        <v>9</v>
      </c>
      <c r="F249" s="89">
        <v>0.45</v>
      </c>
      <c r="G249" s="89">
        <v>0.35</v>
      </c>
      <c r="H249" s="89">
        <f t="shared" si="19"/>
        <v>2.8349999999999995</v>
      </c>
      <c r="I249" s="89"/>
      <c r="J249" s="89"/>
      <c r="K249" s="157"/>
      <c r="L249" s="157"/>
      <c r="M249" s="158"/>
      <c r="O249" s="82">
        <f t="shared" si="17"/>
        <v>0</v>
      </c>
    </row>
    <row r="250" spans="1:15" s="5" customFormat="1" ht="16.149999999999999" customHeight="1" x14ac:dyDescent="0.2">
      <c r="A250" s="30"/>
      <c r="B250" s="36"/>
      <c r="C250" s="32"/>
      <c r="D250" s="32">
        <v>2</v>
      </c>
      <c r="E250" s="89">
        <f>9.8-0.5*2</f>
        <v>8.8000000000000007</v>
      </c>
      <c r="F250" s="89">
        <v>0.45</v>
      </c>
      <c r="G250" s="89">
        <v>0.35</v>
      </c>
      <c r="H250" s="89">
        <f t="shared" si="19"/>
        <v>2.7720000000000002</v>
      </c>
      <c r="I250" s="89"/>
      <c r="J250" s="89"/>
      <c r="K250" s="157"/>
      <c r="L250" s="157"/>
      <c r="M250" s="158"/>
      <c r="O250" s="82">
        <f t="shared" si="17"/>
        <v>0</v>
      </c>
    </row>
    <row r="251" spans="1:15" s="5" customFormat="1" ht="16.149999999999999" customHeight="1" x14ac:dyDescent="0.2">
      <c r="A251" s="30"/>
      <c r="B251" s="36" t="s">
        <v>462</v>
      </c>
      <c r="C251" s="32"/>
      <c r="D251" s="32">
        <v>9</v>
      </c>
      <c r="E251" s="89">
        <v>1.2</v>
      </c>
      <c r="F251" s="89">
        <v>1.2</v>
      </c>
      <c r="G251" s="89">
        <v>0.35</v>
      </c>
      <c r="H251" s="89">
        <f t="shared" ref="H251" si="23">PRODUCT(D251:G251)</f>
        <v>4.5359999999999996</v>
      </c>
      <c r="I251" s="89"/>
      <c r="J251" s="89"/>
      <c r="K251" s="157"/>
      <c r="L251" s="157"/>
      <c r="M251" s="158"/>
      <c r="O251" s="82">
        <f t="shared" si="17"/>
        <v>0</v>
      </c>
    </row>
    <row r="252" spans="1:15" s="5" customFormat="1" ht="16.149999999999999" customHeight="1" x14ac:dyDescent="0.2">
      <c r="A252" s="30"/>
      <c r="B252" s="36" t="s">
        <v>463</v>
      </c>
      <c r="C252" s="32"/>
      <c r="D252" s="32">
        <v>1</v>
      </c>
      <c r="E252" s="89">
        <f>8.8-0.25*3</f>
        <v>8.0500000000000007</v>
      </c>
      <c r="F252" s="89">
        <v>0.2</v>
      </c>
      <c r="G252" s="89">
        <v>0.5</v>
      </c>
      <c r="H252" s="89">
        <f t="shared" si="19"/>
        <v>0.80500000000000016</v>
      </c>
      <c r="I252" s="89"/>
      <c r="J252" s="89"/>
      <c r="K252" s="157"/>
      <c r="L252" s="157"/>
      <c r="M252" s="158"/>
      <c r="O252" s="82">
        <f t="shared" si="17"/>
        <v>0</v>
      </c>
    </row>
    <row r="253" spans="1:15" s="5" customFormat="1" ht="16.149999999999999" customHeight="1" x14ac:dyDescent="0.2">
      <c r="A253" s="30"/>
      <c r="B253" s="36"/>
      <c r="C253" s="32"/>
      <c r="D253" s="32">
        <v>1</v>
      </c>
      <c r="E253" s="89">
        <f>9.8-0.25*3</f>
        <v>9.0500000000000007</v>
      </c>
      <c r="F253" s="89">
        <v>0.2</v>
      </c>
      <c r="G253" s="89">
        <v>0.5</v>
      </c>
      <c r="H253" s="89">
        <f t="shared" si="19"/>
        <v>0.90500000000000014</v>
      </c>
      <c r="I253" s="89"/>
      <c r="J253" s="89"/>
      <c r="K253" s="157"/>
      <c r="L253" s="157"/>
      <c r="M253" s="158"/>
      <c r="O253" s="82">
        <f t="shared" si="17"/>
        <v>0</v>
      </c>
    </row>
    <row r="254" spans="1:15" s="5" customFormat="1" ht="16.149999999999999" customHeight="1" x14ac:dyDescent="0.2">
      <c r="A254" s="30"/>
      <c r="B254" s="36" t="s">
        <v>470</v>
      </c>
      <c r="C254" s="32"/>
      <c r="D254" s="32">
        <f>+D251</f>
        <v>9</v>
      </c>
      <c r="E254" s="89">
        <v>0.3</v>
      </c>
      <c r="F254" s="89">
        <v>0.3</v>
      </c>
      <c r="G254" s="89">
        <v>1.3</v>
      </c>
      <c r="H254" s="89">
        <f t="shared" ref="H254" si="24">PRODUCT(D254:G254)</f>
        <v>1.0529999999999999</v>
      </c>
      <c r="I254" s="89"/>
      <c r="J254" s="89"/>
      <c r="K254" s="157"/>
      <c r="L254" s="157"/>
      <c r="M254" s="158"/>
      <c r="O254" s="82">
        <f t="shared" si="17"/>
        <v>0</v>
      </c>
    </row>
    <row r="255" spans="1:15" s="5" customFormat="1" ht="16.149999999999999" customHeight="1" x14ac:dyDescent="0.2">
      <c r="A255" s="30"/>
      <c r="B255" s="36"/>
      <c r="C255" s="32"/>
      <c r="D255" s="32"/>
      <c r="E255" s="89"/>
      <c r="F255" s="89"/>
      <c r="G255" s="89"/>
      <c r="H255" s="89">
        <f t="shared" si="19"/>
        <v>0</v>
      </c>
      <c r="I255" s="89">
        <f>SUM(H249:H253)</f>
        <v>11.852999999999998</v>
      </c>
      <c r="J255" s="89"/>
      <c r="K255" s="157"/>
      <c r="L255" s="157"/>
      <c r="M255" s="158"/>
      <c r="O255" s="82">
        <f t="shared" si="17"/>
        <v>0</v>
      </c>
    </row>
    <row r="256" spans="1:15" s="5" customFormat="1" ht="16.149999999999999" customHeight="1" x14ac:dyDescent="0.2">
      <c r="A256" s="30"/>
      <c r="B256" s="98" t="s">
        <v>467</v>
      </c>
      <c r="C256" s="32"/>
      <c r="D256" s="32"/>
      <c r="E256" s="89"/>
      <c r="F256" s="89"/>
      <c r="G256" s="89"/>
      <c r="H256" s="89">
        <f t="shared" si="19"/>
        <v>0</v>
      </c>
      <c r="I256" s="89"/>
      <c r="J256" s="89"/>
      <c r="K256" s="157"/>
      <c r="L256" s="157"/>
      <c r="M256" s="158"/>
      <c r="O256" s="82">
        <f t="shared" si="17"/>
        <v>0</v>
      </c>
    </row>
    <row r="257" spans="1:263" s="5" customFormat="1" ht="16.149999999999999" customHeight="1" x14ac:dyDescent="0.2">
      <c r="A257" s="30"/>
      <c r="B257" s="36" t="s">
        <v>461</v>
      </c>
      <c r="C257" s="32"/>
      <c r="D257" s="32">
        <v>2</v>
      </c>
      <c r="E257" s="89">
        <f>2.4+0.1*2</f>
        <v>2.6</v>
      </c>
      <c r="F257" s="89">
        <v>0.45</v>
      </c>
      <c r="G257" s="89">
        <v>0.35</v>
      </c>
      <c r="H257" s="89">
        <f t="shared" si="19"/>
        <v>0.81900000000000006</v>
      </c>
      <c r="I257" s="89"/>
      <c r="J257" s="89"/>
      <c r="K257" s="157"/>
      <c r="L257" s="157"/>
      <c r="M257" s="158"/>
      <c r="O257" s="82">
        <f t="shared" si="17"/>
        <v>0</v>
      </c>
    </row>
    <row r="258" spans="1:263" s="5" customFormat="1" ht="16.149999999999999" customHeight="1" x14ac:dyDescent="0.2">
      <c r="A258" s="30"/>
      <c r="B258" s="36"/>
      <c r="C258" s="32"/>
      <c r="D258" s="32">
        <v>2</v>
      </c>
      <c r="E258" s="89">
        <f>3.4-0.5*2</f>
        <v>2.4</v>
      </c>
      <c r="F258" s="89">
        <v>0.45</v>
      </c>
      <c r="G258" s="89">
        <v>0.35</v>
      </c>
      <c r="H258" s="89">
        <f t="shared" si="19"/>
        <v>0.75600000000000001</v>
      </c>
      <c r="I258" s="89"/>
      <c r="J258" s="89"/>
      <c r="K258" s="157"/>
      <c r="L258" s="157"/>
      <c r="M258" s="158"/>
      <c r="O258" s="82">
        <f t="shared" si="17"/>
        <v>0</v>
      </c>
    </row>
    <row r="259" spans="1:263" s="5" customFormat="1" ht="16.149999999999999" customHeight="1" x14ac:dyDescent="0.2">
      <c r="A259" s="30"/>
      <c r="B259" s="36" t="s">
        <v>462</v>
      </c>
      <c r="C259" s="32"/>
      <c r="D259" s="32">
        <v>4</v>
      </c>
      <c r="E259" s="89">
        <v>1.2</v>
      </c>
      <c r="F259" s="89">
        <v>1.2</v>
      </c>
      <c r="G259" s="89">
        <v>0.35</v>
      </c>
      <c r="H259" s="89">
        <f t="shared" ref="H259" si="25">PRODUCT(D259:G259)</f>
        <v>2.016</v>
      </c>
      <c r="I259" s="89"/>
      <c r="J259" s="89"/>
      <c r="K259" s="157"/>
      <c r="L259" s="157"/>
      <c r="M259" s="158"/>
      <c r="O259" s="82">
        <f t="shared" si="17"/>
        <v>0</v>
      </c>
    </row>
    <row r="260" spans="1:263" s="5" customFormat="1" ht="16.149999999999999" customHeight="1" x14ac:dyDescent="0.2">
      <c r="A260" s="30"/>
      <c r="B260" s="36" t="s">
        <v>470</v>
      </c>
      <c r="C260" s="32"/>
      <c r="D260" s="32">
        <f>+D259</f>
        <v>4</v>
      </c>
      <c r="E260" s="89">
        <v>0.3</v>
      </c>
      <c r="F260" s="89">
        <v>0.3</v>
      </c>
      <c r="G260" s="89">
        <v>1.3</v>
      </c>
      <c r="H260" s="89">
        <f t="shared" ref="H260:H261" si="26">PRODUCT(D260:G260)</f>
        <v>0.46799999999999997</v>
      </c>
      <c r="I260" s="89"/>
      <c r="J260" s="89"/>
      <c r="K260" s="157"/>
      <c r="L260" s="157"/>
      <c r="M260" s="158"/>
      <c r="O260" s="82">
        <f t="shared" si="17"/>
        <v>0</v>
      </c>
    </row>
    <row r="261" spans="1:263" s="5" customFormat="1" ht="16.149999999999999" customHeight="1" x14ac:dyDescent="0.2">
      <c r="A261" s="30"/>
      <c r="B261" s="36"/>
      <c r="C261" s="32"/>
      <c r="D261" s="32"/>
      <c r="E261" s="89"/>
      <c r="F261" s="89"/>
      <c r="G261" s="89"/>
      <c r="H261" s="89">
        <f t="shared" si="26"/>
        <v>0</v>
      </c>
      <c r="I261" s="89">
        <f>SUM(H260:H260)</f>
        <v>0.46799999999999997</v>
      </c>
      <c r="J261" s="89"/>
      <c r="K261" s="157"/>
      <c r="L261" s="157"/>
      <c r="M261" s="158"/>
      <c r="O261" s="82">
        <f t="shared" si="17"/>
        <v>0</v>
      </c>
    </row>
    <row r="262" spans="1:263" ht="17.100000000000001" customHeight="1" x14ac:dyDescent="0.2">
      <c r="A262" s="30" t="s">
        <v>157</v>
      </c>
      <c r="B262" s="39" t="s">
        <v>257</v>
      </c>
      <c r="C262" s="32" t="s">
        <v>79</v>
      </c>
      <c r="D262" s="32"/>
      <c r="E262" s="89"/>
      <c r="F262" s="89"/>
      <c r="G262" s="89"/>
      <c r="H262" s="89"/>
      <c r="I262" s="89"/>
      <c r="J262" s="89"/>
      <c r="K262" s="157">
        <v>24855</v>
      </c>
      <c r="L262" s="157">
        <v>11</v>
      </c>
      <c r="M262" s="158">
        <f>+L262*K262</f>
        <v>273405</v>
      </c>
      <c r="O262" s="82">
        <f t="shared" ref="O262:O325" si="27">K262-J262</f>
        <v>24855</v>
      </c>
    </row>
    <row r="263" spans="1:263" ht="18" customHeight="1" x14ac:dyDescent="0.2">
      <c r="A263" s="250" t="s">
        <v>99</v>
      </c>
      <c r="B263" s="251"/>
      <c r="C263" s="251"/>
      <c r="D263" s="251"/>
      <c r="E263" s="251"/>
      <c r="F263" s="251"/>
      <c r="G263" s="251"/>
      <c r="H263" s="251"/>
      <c r="I263" s="251"/>
      <c r="J263" s="251"/>
      <c r="K263" s="251"/>
      <c r="L263" s="252"/>
      <c r="M263" s="159">
        <f>SUM(M220:M262)</f>
        <v>345405</v>
      </c>
      <c r="O263" s="82">
        <f t="shared" si="27"/>
        <v>0</v>
      </c>
    </row>
    <row r="264" spans="1:263" ht="18" customHeight="1" x14ac:dyDescent="0.2">
      <c r="A264" s="24"/>
      <c r="B264" s="25" t="s">
        <v>258</v>
      </c>
      <c r="C264" s="26"/>
      <c r="D264" s="26"/>
      <c r="E264" s="88"/>
      <c r="F264" s="88"/>
      <c r="G264" s="88"/>
      <c r="H264" s="88"/>
      <c r="I264" s="88"/>
      <c r="J264" s="88"/>
      <c r="K264" s="155"/>
      <c r="L264" s="155"/>
      <c r="M264" s="158"/>
      <c r="O264" s="82">
        <f t="shared" si="27"/>
        <v>0</v>
      </c>
    </row>
    <row r="265" spans="1:263" ht="15.95" customHeight="1" x14ac:dyDescent="0.2">
      <c r="A265" s="40" t="s">
        <v>158</v>
      </c>
      <c r="B265" s="36" t="s">
        <v>324</v>
      </c>
      <c r="C265" s="41"/>
      <c r="D265" s="41"/>
      <c r="E265" s="90"/>
      <c r="F265" s="90"/>
      <c r="G265" s="90"/>
      <c r="H265" s="90"/>
      <c r="I265" s="90"/>
      <c r="J265" s="90"/>
      <c r="K265" s="163"/>
      <c r="L265" s="163"/>
      <c r="M265" s="158"/>
      <c r="O265" s="82">
        <f t="shared" si="27"/>
        <v>0</v>
      </c>
    </row>
    <row r="266" spans="1:263" ht="15.95" customHeight="1" x14ac:dyDescent="0.2">
      <c r="A266" s="40" t="s">
        <v>320</v>
      </c>
      <c r="B266" s="44" t="s">
        <v>322</v>
      </c>
      <c r="C266" s="41" t="s">
        <v>1</v>
      </c>
      <c r="D266" s="41"/>
      <c r="E266" s="90"/>
      <c r="F266" s="90"/>
      <c r="G266" s="90"/>
      <c r="H266" s="90"/>
      <c r="I266" s="90"/>
      <c r="J266" s="90">
        <f>SUM(H267:H269)</f>
        <v>33.299999999999997</v>
      </c>
      <c r="K266" s="163">
        <v>35</v>
      </c>
      <c r="L266" s="163">
        <v>100</v>
      </c>
      <c r="M266" s="158">
        <f>+L266*K266</f>
        <v>3500</v>
      </c>
      <c r="O266" s="82">
        <f t="shared" si="27"/>
        <v>1.7000000000000028</v>
      </c>
    </row>
    <row r="267" spans="1:263" s="5" customFormat="1" ht="16.149999999999999" customHeight="1" x14ac:dyDescent="0.2">
      <c r="A267" s="30"/>
      <c r="B267" s="98" t="s">
        <v>465</v>
      </c>
      <c r="C267" s="32"/>
      <c r="D267" s="32">
        <v>1</v>
      </c>
      <c r="E267" s="89">
        <f>3.4+3+2</f>
        <v>8.4</v>
      </c>
      <c r="F267" s="89"/>
      <c r="G267" s="89"/>
      <c r="H267" s="89">
        <f t="shared" ref="H267:H269" si="28">PRODUCT(D267:G267)</f>
        <v>8.4</v>
      </c>
      <c r="I267" s="89"/>
      <c r="J267" s="89"/>
      <c r="K267" s="157"/>
      <c r="L267" s="157"/>
      <c r="M267" s="158"/>
      <c r="O267" s="82">
        <f t="shared" si="27"/>
        <v>0</v>
      </c>
    </row>
    <row r="268" spans="1:263" s="5" customFormat="1" ht="16.149999999999999" customHeight="1" x14ac:dyDescent="0.2">
      <c r="A268" s="30"/>
      <c r="B268" s="98" t="s">
        <v>530</v>
      </c>
      <c r="C268" s="32"/>
      <c r="D268" s="32">
        <v>1</v>
      </c>
      <c r="E268" s="89">
        <f>8.9+4.6+2.4</f>
        <v>15.9</v>
      </c>
      <c r="F268" s="89"/>
      <c r="G268" s="89"/>
      <c r="H268" s="89">
        <f t="shared" si="28"/>
        <v>15.9</v>
      </c>
      <c r="I268" s="89"/>
      <c r="J268" s="89"/>
      <c r="K268" s="157"/>
      <c r="L268" s="157"/>
      <c r="M268" s="158"/>
      <c r="O268" s="82">
        <f t="shared" si="27"/>
        <v>0</v>
      </c>
    </row>
    <row r="269" spans="1:263" s="5" customFormat="1" ht="15.6" customHeight="1" x14ac:dyDescent="0.2">
      <c r="A269" s="30"/>
      <c r="B269" s="98" t="s">
        <v>466</v>
      </c>
      <c r="C269" s="32"/>
      <c r="D269" s="32">
        <v>1</v>
      </c>
      <c r="E269" s="89">
        <f>1.5*6</f>
        <v>9</v>
      </c>
      <c r="F269" s="89"/>
      <c r="G269" s="89"/>
      <c r="H269" s="89">
        <f t="shared" si="28"/>
        <v>9</v>
      </c>
      <c r="I269" s="89"/>
      <c r="J269" s="89"/>
      <c r="K269" s="157"/>
      <c r="L269" s="157"/>
      <c r="M269" s="158"/>
      <c r="O269" s="82">
        <f t="shared" si="27"/>
        <v>0</v>
      </c>
    </row>
    <row r="270" spans="1:263" s="136" customFormat="1" ht="15.95" customHeight="1" x14ac:dyDescent="0.2">
      <c r="A270" s="130" t="s">
        <v>385</v>
      </c>
      <c r="B270" s="131" t="s">
        <v>323</v>
      </c>
      <c r="C270" s="132" t="s">
        <v>1</v>
      </c>
      <c r="D270" s="132"/>
      <c r="E270" s="133"/>
      <c r="F270" s="133"/>
      <c r="G270" s="133"/>
      <c r="H270" s="133"/>
      <c r="I270" s="133"/>
      <c r="J270" s="133">
        <f>SUM(H271:H273)</f>
        <v>30</v>
      </c>
      <c r="K270" s="163">
        <v>40</v>
      </c>
      <c r="L270" s="163">
        <v>170</v>
      </c>
      <c r="M270" s="158">
        <f>+L270*K270</f>
        <v>6800</v>
      </c>
      <c r="N270" s="135"/>
      <c r="O270" s="82">
        <f t="shared" si="27"/>
        <v>10</v>
      </c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5"/>
      <c r="AP270" s="135"/>
      <c r="AQ270" s="135"/>
      <c r="AR270" s="135"/>
      <c r="AS270" s="135"/>
      <c r="AT270" s="135"/>
      <c r="AU270" s="135"/>
      <c r="AV270" s="135"/>
      <c r="AW270" s="135"/>
      <c r="AX270" s="135"/>
      <c r="AY270" s="135"/>
      <c r="AZ270" s="135"/>
      <c r="BA270" s="135"/>
      <c r="BB270" s="135"/>
      <c r="BC270" s="135"/>
      <c r="BD270" s="135"/>
      <c r="BE270" s="135"/>
      <c r="BF270" s="135"/>
      <c r="BG270" s="135"/>
      <c r="BH270" s="135"/>
      <c r="BI270" s="135"/>
      <c r="BJ270" s="135"/>
      <c r="BK270" s="135"/>
      <c r="BL270" s="135"/>
      <c r="BM270" s="135"/>
      <c r="BN270" s="135"/>
      <c r="BO270" s="135"/>
      <c r="BP270" s="135"/>
      <c r="BQ270" s="135"/>
      <c r="BR270" s="135"/>
      <c r="BS270" s="135"/>
      <c r="BT270" s="135"/>
      <c r="BU270" s="135"/>
      <c r="BV270" s="135"/>
      <c r="BW270" s="135"/>
      <c r="BX270" s="135"/>
      <c r="BY270" s="135"/>
      <c r="BZ270" s="135"/>
      <c r="CA270" s="135"/>
      <c r="CB270" s="135"/>
      <c r="CC270" s="135"/>
      <c r="CD270" s="135"/>
      <c r="CE270" s="135"/>
      <c r="CF270" s="135"/>
      <c r="CG270" s="135"/>
      <c r="CH270" s="135"/>
      <c r="CI270" s="135"/>
      <c r="CJ270" s="135"/>
      <c r="CK270" s="135"/>
      <c r="CL270" s="135"/>
      <c r="CM270" s="135"/>
      <c r="CN270" s="135"/>
      <c r="CO270" s="135"/>
      <c r="CP270" s="135"/>
      <c r="CQ270" s="135"/>
      <c r="CR270" s="135"/>
      <c r="CS270" s="135"/>
      <c r="CT270" s="135"/>
      <c r="CU270" s="135"/>
      <c r="CV270" s="135"/>
      <c r="CW270" s="135"/>
      <c r="CX270" s="135"/>
      <c r="CY270" s="135"/>
      <c r="CZ270" s="135"/>
      <c r="DA270" s="135"/>
      <c r="DB270" s="135"/>
      <c r="DC270" s="135"/>
      <c r="DD270" s="135"/>
      <c r="DE270" s="135"/>
      <c r="DF270" s="135"/>
      <c r="DG270" s="135"/>
      <c r="DH270" s="135"/>
      <c r="DI270" s="135"/>
      <c r="DJ270" s="135"/>
      <c r="DK270" s="135"/>
      <c r="DL270" s="135"/>
      <c r="DM270" s="135"/>
      <c r="DN270" s="135"/>
      <c r="DO270" s="135"/>
      <c r="DP270" s="135"/>
      <c r="DQ270" s="135"/>
      <c r="DR270" s="135"/>
      <c r="DS270" s="135"/>
      <c r="DT270" s="135"/>
      <c r="DU270" s="135"/>
      <c r="DV270" s="135"/>
      <c r="DW270" s="135"/>
      <c r="DX270" s="135"/>
      <c r="DY270" s="135"/>
      <c r="DZ270" s="135"/>
      <c r="EA270" s="135"/>
      <c r="EB270" s="135"/>
      <c r="EC270" s="135"/>
      <c r="ED270" s="135"/>
      <c r="EE270" s="135"/>
      <c r="EF270" s="135"/>
      <c r="EG270" s="135"/>
      <c r="EH270" s="135"/>
      <c r="EI270" s="135"/>
      <c r="EJ270" s="135"/>
      <c r="EK270" s="135"/>
      <c r="EL270" s="135"/>
      <c r="EM270" s="135"/>
      <c r="EN270" s="135"/>
      <c r="EO270" s="135"/>
      <c r="EP270" s="135"/>
      <c r="EQ270" s="135"/>
      <c r="ER270" s="135"/>
      <c r="ES270" s="135"/>
      <c r="ET270" s="135"/>
      <c r="EU270" s="135"/>
      <c r="EV270" s="135"/>
      <c r="EW270" s="135"/>
      <c r="EX270" s="135"/>
      <c r="EY270" s="135"/>
      <c r="EZ270" s="135"/>
      <c r="FA270" s="135"/>
      <c r="FB270" s="135"/>
      <c r="FC270" s="135"/>
      <c r="FD270" s="135"/>
      <c r="FE270" s="135"/>
      <c r="FF270" s="135"/>
      <c r="FG270" s="135"/>
      <c r="FH270" s="135"/>
      <c r="FI270" s="135"/>
      <c r="FJ270" s="135"/>
      <c r="FK270" s="135"/>
      <c r="FL270" s="135"/>
      <c r="FM270" s="135"/>
      <c r="FN270" s="135"/>
      <c r="FO270" s="135"/>
      <c r="FP270" s="135"/>
      <c r="FQ270" s="135"/>
      <c r="FR270" s="135"/>
      <c r="FS270" s="135"/>
      <c r="FT270" s="135"/>
      <c r="FU270" s="135"/>
      <c r="FV270" s="135"/>
      <c r="FW270" s="135"/>
      <c r="FX270" s="135"/>
      <c r="FY270" s="135"/>
      <c r="FZ270" s="135"/>
      <c r="GA270" s="135"/>
      <c r="GB270" s="135"/>
      <c r="GC270" s="135"/>
      <c r="GD270" s="135"/>
      <c r="GE270" s="135"/>
      <c r="GF270" s="135"/>
      <c r="GG270" s="135"/>
      <c r="GH270" s="135"/>
      <c r="GI270" s="135"/>
      <c r="GJ270" s="135"/>
      <c r="GK270" s="135"/>
      <c r="GL270" s="135"/>
      <c r="GM270" s="135"/>
      <c r="GN270" s="135"/>
      <c r="GO270" s="135"/>
      <c r="GP270" s="135"/>
      <c r="GQ270" s="135"/>
      <c r="GR270" s="135"/>
      <c r="GS270" s="135"/>
      <c r="GT270" s="135"/>
      <c r="GU270" s="135"/>
      <c r="GV270" s="135"/>
      <c r="GW270" s="135"/>
      <c r="GX270" s="135"/>
      <c r="GY270" s="135"/>
      <c r="GZ270" s="135"/>
      <c r="HA270" s="135"/>
      <c r="HB270" s="135"/>
      <c r="HC270" s="135"/>
      <c r="HD270" s="135"/>
      <c r="HE270" s="135"/>
      <c r="HF270" s="135"/>
      <c r="HG270" s="135"/>
      <c r="HH270" s="135"/>
      <c r="HI270" s="135"/>
      <c r="HJ270" s="135"/>
      <c r="HK270" s="135"/>
      <c r="HL270" s="135"/>
      <c r="HM270" s="135"/>
      <c r="HN270" s="135"/>
      <c r="HO270" s="135"/>
      <c r="HP270" s="135"/>
      <c r="HQ270" s="135"/>
      <c r="HR270" s="135"/>
      <c r="HS270" s="135"/>
      <c r="HT270" s="135"/>
      <c r="HU270" s="135"/>
      <c r="HV270" s="135"/>
      <c r="HW270" s="135"/>
      <c r="HX270" s="135"/>
      <c r="HY270" s="135"/>
      <c r="HZ270" s="135"/>
      <c r="IA270" s="135"/>
      <c r="IB270" s="135"/>
      <c r="IC270" s="135"/>
      <c r="ID270" s="135"/>
      <c r="IE270" s="135"/>
      <c r="IF270" s="135"/>
      <c r="IG270" s="135"/>
      <c r="IH270" s="135"/>
      <c r="II270" s="135"/>
      <c r="IJ270" s="135"/>
      <c r="IK270" s="135"/>
      <c r="IL270" s="135"/>
      <c r="IM270" s="135"/>
      <c r="IN270" s="135"/>
      <c r="IO270" s="135"/>
      <c r="IP270" s="135"/>
      <c r="IQ270" s="135"/>
      <c r="IR270" s="135"/>
      <c r="IS270" s="135"/>
      <c r="IT270" s="135"/>
      <c r="IU270" s="135"/>
      <c r="IV270" s="135"/>
      <c r="IW270" s="135"/>
      <c r="IX270" s="135"/>
      <c r="IY270" s="135"/>
      <c r="IZ270" s="135"/>
      <c r="JA270" s="135"/>
      <c r="JB270" s="135"/>
      <c r="JC270" s="135"/>
    </row>
    <row r="271" spans="1:263" s="5" customFormat="1" ht="16.149999999999999" customHeight="1" x14ac:dyDescent="0.2">
      <c r="A271" s="30"/>
      <c r="B271" s="98" t="s">
        <v>465</v>
      </c>
      <c r="C271" s="32"/>
      <c r="D271" s="32">
        <v>1</v>
      </c>
      <c r="E271" s="89">
        <v>10</v>
      </c>
      <c r="F271" s="89"/>
      <c r="G271" s="89"/>
      <c r="H271" s="89">
        <f t="shared" ref="H271:H273" si="29">PRODUCT(D271:G271)</f>
        <v>10</v>
      </c>
      <c r="I271" s="89"/>
      <c r="J271" s="89"/>
      <c r="K271" s="157"/>
      <c r="L271" s="157"/>
      <c r="M271" s="158"/>
      <c r="O271" s="82">
        <f t="shared" si="27"/>
        <v>0</v>
      </c>
    </row>
    <row r="272" spans="1:263" s="5" customFormat="1" ht="16.149999999999999" customHeight="1" x14ac:dyDescent="0.2">
      <c r="A272" s="30"/>
      <c r="B272" s="98" t="s">
        <v>530</v>
      </c>
      <c r="C272" s="32"/>
      <c r="D272" s="32">
        <v>1</v>
      </c>
      <c r="E272" s="89">
        <v>10</v>
      </c>
      <c r="F272" s="89"/>
      <c r="G272" s="89"/>
      <c r="H272" s="89">
        <f t="shared" si="29"/>
        <v>10</v>
      </c>
      <c r="I272" s="89"/>
      <c r="J272" s="89"/>
      <c r="K272" s="157"/>
      <c r="L272" s="157"/>
      <c r="M272" s="158"/>
      <c r="O272" s="82">
        <f t="shared" si="27"/>
        <v>0</v>
      </c>
    </row>
    <row r="273" spans="1:15" s="5" customFormat="1" ht="15.6" customHeight="1" x14ac:dyDescent="0.2">
      <c r="A273" s="30"/>
      <c r="B273" s="98" t="s">
        <v>466</v>
      </c>
      <c r="C273" s="32"/>
      <c r="D273" s="32">
        <v>1</v>
      </c>
      <c r="E273" s="89">
        <v>10</v>
      </c>
      <c r="F273" s="89"/>
      <c r="G273" s="89"/>
      <c r="H273" s="89">
        <f t="shared" si="29"/>
        <v>10</v>
      </c>
      <c r="I273" s="89"/>
      <c r="J273" s="89"/>
      <c r="K273" s="157"/>
      <c r="L273" s="157"/>
      <c r="M273" s="158"/>
      <c r="O273" s="82">
        <f t="shared" si="27"/>
        <v>0</v>
      </c>
    </row>
    <row r="274" spans="1:15" ht="15.95" customHeight="1" x14ac:dyDescent="0.2">
      <c r="A274" s="40"/>
      <c r="B274" s="44"/>
      <c r="C274" s="41"/>
      <c r="D274" s="41"/>
      <c r="E274" s="90"/>
      <c r="F274" s="90"/>
      <c r="G274" s="90"/>
      <c r="H274" s="90"/>
      <c r="I274" s="90"/>
      <c r="J274" s="90"/>
      <c r="K274" s="163"/>
      <c r="L274" s="163"/>
      <c r="M274" s="158"/>
      <c r="O274" s="82">
        <f t="shared" si="27"/>
        <v>0</v>
      </c>
    </row>
    <row r="275" spans="1:15" ht="15.95" customHeight="1" x14ac:dyDescent="0.2">
      <c r="A275" s="40" t="s">
        <v>159</v>
      </c>
      <c r="B275" s="44" t="s">
        <v>259</v>
      </c>
      <c r="C275" s="41"/>
      <c r="D275" s="41"/>
      <c r="E275" s="90"/>
      <c r="F275" s="90"/>
      <c r="G275" s="90"/>
      <c r="H275" s="90"/>
      <c r="I275" s="90"/>
      <c r="J275" s="90"/>
      <c r="K275" s="163"/>
      <c r="L275" s="163"/>
      <c r="M275" s="158"/>
      <c r="O275" s="82">
        <f t="shared" si="27"/>
        <v>0</v>
      </c>
    </row>
    <row r="276" spans="1:15" ht="15.95" customHeight="1" x14ac:dyDescent="0.2">
      <c r="A276" s="40" t="s">
        <v>260</v>
      </c>
      <c r="B276" s="45" t="s">
        <v>262</v>
      </c>
      <c r="C276" s="32" t="s">
        <v>76</v>
      </c>
      <c r="D276" s="32"/>
      <c r="E276" s="89"/>
      <c r="F276" s="89"/>
      <c r="G276" s="89"/>
      <c r="H276" s="89"/>
      <c r="I276" s="89"/>
      <c r="J276" s="89">
        <f>SUM(H277:H279)</f>
        <v>14</v>
      </c>
      <c r="K276" s="157">
        <v>14</v>
      </c>
      <c r="L276" s="157">
        <v>250</v>
      </c>
      <c r="M276" s="158">
        <f>+L276*K276</f>
        <v>3500</v>
      </c>
      <c r="N276" s="34"/>
      <c r="O276" s="82">
        <f t="shared" si="27"/>
        <v>0</v>
      </c>
    </row>
    <row r="277" spans="1:15" s="5" customFormat="1" ht="16.149999999999999" customHeight="1" x14ac:dyDescent="0.2">
      <c r="A277" s="30"/>
      <c r="B277" s="98" t="s">
        <v>465</v>
      </c>
      <c r="C277" s="32"/>
      <c r="D277" s="32">
        <v>3</v>
      </c>
      <c r="E277" s="89"/>
      <c r="F277" s="89"/>
      <c r="G277" s="89"/>
      <c r="H277" s="89">
        <f t="shared" ref="H277:H279" si="30">PRODUCT(D277:G277)</f>
        <v>3</v>
      </c>
      <c r="I277" s="89"/>
      <c r="J277" s="89"/>
      <c r="K277" s="157"/>
      <c r="L277" s="157"/>
      <c r="M277" s="158"/>
      <c r="O277" s="82">
        <f t="shared" si="27"/>
        <v>0</v>
      </c>
    </row>
    <row r="278" spans="1:15" s="5" customFormat="1" ht="16.149999999999999" customHeight="1" x14ac:dyDescent="0.2">
      <c r="A278" s="30"/>
      <c r="B278" s="98" t="s">
        <v>530</v>
      </c>
      <c r="C278" s="32"/>
      <c r="D278" s="32">
        <v>7</v>
      </c>
      <c r="E278" s="89"/>
      <c r="F278" s="89"/>
      <c r="G278" s="89"/>
      <c r="H278" s="89">
        <f t="shared" si="30"/>
        <v>7</v>
      </c>
      <c r="I278" s="89"/>
      <c r="J278" s="89"/>
      <c r="K278" s="157"/>
      <c r="L278" s="157"/>
      <c r="M278" s="158"/>
      <c r="O278" s="82">
        <f t="shared" si="27"/>
        <v>0</v>
      </c>
    </row>
    <row r="279" spans="1:15" s="5" customFormat="1" ht="15.6" customHeight="1" x14ac:dyDescent="0.2">
      <c r="A279" s="30"/>
      <c r="B279" s="98" t="s">
        <v>466</v>
      </c>
      <c r="C279" s="32"/>
      <c r="D279" s="32">
        <v>4</v>
      </c>
      <c r="E279" s="89"/>
      <c r="F279" s="89"/>
      <c r="G279" s="89"/>
      <c r="H279" s="89">
        <f t="shared" si="30"/>
        <v>4</v>
      </c>
      <c r="I279" s="89"/>
      <c r="J279" s="89"/>
      <c r="K279" s="157"/>
      <c r="L279" s="157"/>
      <c r="M279" s="158"/>
      <c r="O279" s="82">
        <f t="shared" si="27"/>
        <v>0</v>
      </c>
    </row>
    <row r="280" spans="1:15" ht="15.95" customHeight="1" x14ac:dyDescent="0.2">
      <c r="A280" s="40" t="s">
        <v>261</v>
      </c>
      <c r="B280" s="46" t="s">
        <v>388</v>
      </c>
      <c r="C280" s="32" t="s">
        <v>76</v>
      </c>
      <c r="D280" s="32"/>
      <c r="E280" s="89"/>
      <c r="F280" s="89"/>
      <c r="G280" s="89"/>
      <c r="H280" s="89"/>
      <c r="I280" s="89"/>
      <c r="J280" s="89"/>
      <c r="K280" s="157">
        <v>2</v>
      </c>
      <c r="L280" s="157">
        <v>300</v>
      </c>
      <c r="M280" s="158">
        <f t="shared" ref="M280:M298" si="31">+L280*K280</f>
        <v>600</v>
      </c>
      <c r="N280" s="34"/>
      <c r="O280" s="82">
        <f t="shared" si="27"/>
        <v>2</v>
      </c>
    </row>
    <row r="281" spans="1:15" ht="15.95" customHeight="1" x14ac:dyDescent="0.2">
      <c r="A281" s="40" t="s">
        <v>387</v>
      </c>
      <c r="B281" s="46" t="s">
        <v>263</v>
      </c>
      <c r="C281" s="32" t="s">
        <v>76</v>
      </c>
      <c r="D281" s="32"/>
      <c r="E281" s="89"/>
      <c r="F281" s="89"/>
      <c r="G281" s="89"/>
      <c r="H281" s="89"/>
      <c r="I281" s="89"/>
      <c r="J281" s="89">
        <f>SUM(H282:H284)</f>
        <v>5</v>
      </c>
      <c r="K281" s="157">
        <v>5</v>
      </c>
      <c r="L281" s="157">
        <v>300</v>
      </c>
      <c r="M281" s="158">
        <f t="shared" si="31"/>
        <v>1500</v>
      </c>
      <c r="N281" s="34"/>
      <c r="O281" s="82">
        <f t="shared" si="27"/>
        <v>0</v>
      </c>
    </row>
    <row r="282" spans="1:15" s="5" customFormat="1" ht="16.149999999999999" customHeight="1" x14ac:dyDescent="0.2">
      <c r="A282" s="30"/>
      <c r="B282" s="98" t="s">
        <v>465</v>
      </c>
      <c r="C282" s="32"/>
      <c r="D282" s="32">
        <v>1</v>
      </c>
      <c r="E282" s="89"/>
      <c r="F282" s="89"/>
      <c r="G282" s="89"/>
      <c r="H282" s="89">
        <f t="shared" ref="H282:H284" si="32">PRODUCT(D282:G282)</f>
        <v>1</v>
      </c>
      <c r="I282" s="89"/>
      <c r="J282" s="89"/>
      <c r="K282" s="157"/>
      <c r="L282" s="157"/>
      <c r="M282" s="158"/>
      <c r="O282" s="82">
        <f t="shared" si="27"/>
        <v>0</v>
      </c>
    </row>
    <row r="283" spans="1:15" s="5" customFormat="1" ht="16.149999999999999" customHeight="1" x14ac:dyDescent="0.2">
      <c r="A283" s="30"/>
      <c r="B283" s="98" t="s">
        <v>530</v>
      </c>
      <c r="C283" s="32"/>
      <c r="D283" s="32">
        <v>2</v>
      </c>
      <c r="E283" s="89"/>
      <c r="F283" s="89"/>
      <c r="G283" s="89"/>
      <c r="H283" s="89">
        <f t="shared" si="32"/>
        <v>2</v>
      </c>
      <c r="I283" s="89"/>
      <c r="J283" s="89"/>
      <c r="K283" s="157"/>
      <c r="L283" s="157"/>
      <c r="M283" s="158"/>
      <c r="O283" s="82">
        <f t="shared" si="27"/>
        <v>0</v>
      </c>
    </row>
    <row r="284" spans="1:15" s="5" customFormat="1" ht="15.6" customHeight="1" x14ac:dyDescent="0.2">
      <c r="A284" s="30"/>
      <c r="B284" s="98" t="s">
        <v>466</v>
      </c>
      <c r="C284" s="32"/>
      <c r="D284" s="32">
        <v>2</v>
      </c>
      <c r="E284" s="89"/>
      <c r="F284" s="89"/>
      <c r="G284" s="89"/>
      <c r="H284" s="89">
        <f t="shared" si="32"/>
        <v>2</v>
      </c>
      <c r="I284" s="89"/>
      <c r="J284" s="89"/>
      <c r="K284" s="157"/>
      <c r="L284" s="157"/>
      <c r="M284" s="158"/>
      <c r="O284" s="82">
        <f t="shared" si="27"/>
        <v>0</v>
      </c>
    </row>
    <row r="285" spans="1:15" ht="15.95" customHeight="1" x14ac:dyDescent="0.2">
      <c r="A285" s="40"/>
      <c r="B285" s="46"/>
      <c r="C285" s="41"/>
      <c r="D285" s="41"/>
      <c r="E285" s="90"/>
      <c r="F285" s="90"/>
      <c r="G285" s="90"/>
      <c r="H285" s="90"/>
      <c r="I285" s="90"/>
      <c r="J285" s="90"/>
      <c r="K285" s="163"/>
      <c r="L285" s="163"/>
      <c r="M285" s="158"/>
      <c r="N285" s="43"/>
      <c r="O285" s="82">
        <f t="shared" si="27"/>
        <v>0</v>
      </c>
    </row>
    <row r="286" spans="1:15" ht="15.95" customHeight="1" x14ac:dyDescent="0.2">
      <c r="A286" s="40" t="s">
        <v>160</v>
      </c>
      <c r="B286" s="46" t="s">
        <v>290</v>
      </c>
      <c r="C286" s="41" t="s">
        <v>1</v>
      </c>
      <c r="D286" s="41"/>
      <c r="E286" s="90"/>
      <c r="F286" s="90"/>
      <c r="G286" s="90"/>
      <c r="H286" s="90"/>
      <c r="I286" s="90"/>
      <c r="J286" s="90">
        <f>SUM(H287)</f>
        <v>14</v>
      </c>
      <c r="K286" s="163">
        <v>14</v>
      </c>
      <c r="L286" s="163">
        <v>250</v>
      </c>
      <c r="M286" s="158">
        <f t="shared" si="31"/>
        <v>3500</v>
      </c>
      <c r="N286" s="43"/>
      <c r="O286" s="82">
        <f t="shared" si="27"/>
        <v>0</v>
      </c>
    </row>
    <row r="287" spans="1:15" s="5" customFormat="1" ht="15.6" customHeight="1" x14ac:dyDescent="0.2">
      <c r="A287" s="30"/>
      <c r="B287" s="98" t="s">
        <v>466</v>
      </c>
      <c r="C287" s="32"/>
      <c r="D287" s="32">
        <v>4</v>
      </c>
      <c r="E287" s="89">
        <v>3.5</v>
      </c>
      <c r="F287" s="89"/>
      <c r="G287" s="89"/>
      <c r="H287" s="89">
        <f t="shared" ref="H287" si="33">PRODUCT(D287:G287)</f>
        <v>14</v>
      </c>
      <c r="I287" s="89"/>
      <c r="J287" s="89"/>
      <c r="K287" s="157"/>
      <c r="L287" s="157"/>
      <c r="M287" s="158"/>
      <c r="O287" s="82">
        <f t="shared" si="27"/>
        <v>0</v>
      </c>
    </row>
    <row r="288" spans="1:15" ht="15.95" customHeight="1" x14ac:dyDescent="0.2">
      <c r="A288" s="40"/>
      <c r="B288" s="46"/>
      <c r="C288" s="41"/>
      <c r="D288" s="41"/>
      <c r="E288" s="90"/>
      <c r="F288" s="90"/>
      <c r="G288" s="90"/>
      <c r="H288" s="90"/>
      <c r="I288" s="90"/>
      <c r="J288" s="90"/>
      <c r="K288" s="163"/>
      <c r="L288" s="163"/>
      <c r="M288" s="158"/>
      <c r="N288" s="43"/>
      <c r="O288" s="82">
        <f t="shared" si="27"/>
        <v>0</v>
      </c>
    </row>
    <row r="289" spans="1:263" s="136" customFormat="1" ht="15" customHeight="1" x14ac:dyDescent="0.2">
      <c r="A289" s="130" t="s">
        <v>161</v>
      </c>
      <c r="B289" s="138" t="s">
        <v>325</v>
      </c>
      <c r="C289" s="139" t="s">
        <v>76</v>
      </c>
      <c r="D289" s="132"/>
      <c r="E289" s="133"/>
      <c r="F289" s="133"/>
      <c r="G289" s="133"/>
      <c r="H289" s="133"/>
      <c r="I289" s="133"/>
      <c r="J289" s="133">
        <f>SUM(H290:H292)</f>
        <v>2</v>
      </c>
      <c r="K289" s="163">
        <v>2</v>
      </c>
      <c r="L289" s="163">
        <v>5000</v>
      </c>
      <c r="M289" s="158">
        <f t="shared" si="31"/>
        <v>10000</v>
      </c>
      <c r="N289" s="140"/>
      <c r="O289" s="82">
        <f t="shared" si="27"/>
        <v>0</v>
      </c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  <c r="AR289" s="135"/>
      <c r="AS289" s="135"/>
      <c r="AT289" s="135"/>
      <c r="AU289" s="135"/>
      <c r="AV289" s="135"/>
      <c r="AW289" s="135"/>
      <c r="AX289" s="135"/>
      <c r="AY289" s="135"/>
      <c r="AZ289" s="135"/>
      <c r="BA289" s="135"/>
      <c r="BB289" s="135"/>
      <c r="BC289" s="135"/>
      <c r="BD289" s="135"/>
      <c r="BE289" s="135"/>
      <c r="BF289" s="135"/>
      <c r="BG289" s="135"/>
      <c r="BH289" s="135"/>
      <c r="BI289" s="135"/>
      <c r="BJ289" s="135"/>
      <c r="BK289" s="135"/>
      <c r="BL289" s="135"/>
      <c r="BM289" s="135"/>
      <c r="BN289" s="135"/>
      <c r="BO289" s="135"/>
      <c r="BP289" s="135"/>
      <c r="BQ289" s="135"/>
      <c r="BR289" s="135"/>
      <c r="BS289" s="135"/>
      <c r="BT289" s="135"/>
      <c r="BU289" s="135"/>
      <c r="BV289" s="135"/>
      <c r="BW289" s="135"/>
      <c r="BX289" s="135"/>
      <c r="BY289" s="135"/>
      <c r="BZ289" s="135"/>
      <c r="CA289" s="135"/>
      <c r="CB289" s="135"/>
      <c r="CC289" s="135"/>
      <c r="CD289" s="135"/>
      <c r="CE289" s="135"/>
      <c r="CF289" s="135"/>
      <c r="CG289" s="135"/>
      <c r="CH289" s="135"/>
      <c r="CI289" s="135"/>
      <c r="CJ289" s="135"/>
      <c r="CK289" s="135"/>
      <c r="CL289" s="135"/>
      <c r="CM289" s="135"/>
      <c r="CN289" s="135"/>
      <c r="CO289" s="135"/>
      <c r="CP289" s="135"/>
      <c r="CQ289" s="135"/>
      <c r="CR289" s="135"/>
      <c r="CS289" s="135"/>
      <c r="CT289" s="135"/>
      <c r="CU289" s="135"/>
      <c r="CV289" s="135"/>
      <c r="CW289" s="135"/>
      <c r="CX289" s="135"/>
      <c r="CY289" s="135"/>
      <c r="CZ289" s="135"/>
      <c r="DA289" s="135"/>
      <c r="DB289" s="135"/>
      <c r="DC289" s="135"/>
      <c r="DD289" s="135"/>
      <c r="DE289" s="135"/>
      <c r="DF289" s="135"/>
      <c r="DG289" s="135"/>
      <c r="DH289" s="135"/>
      <c r="DI289" s="135"/>
      <c r="DJ289" s="135"/>
      <c r="DK289" s="135"/>
      <c r="DL289" s="135"/>
      <c r="DM289" s="135"/>
      <c r="DN289" s="135"/>
      <c r="DO289" s="135"/>
      <c r="DP289" s="135"/>
      <c r="DQ289" s="135"/>
      <c r="DR289" s="135"/>
      <c r="DS289" s="135"/>
      <c r="DT289" s="135"/>
      <c r="DU289" s="135"/>
      <c r="DV289" s="135"/>
      <c r="DW289" s="135"/>
      <c r="DX289" s="135"/>
      <c r="DY289" s="135"/>
      <c r="DZ289" s="135"/>
      <c r="EA289" s="135"/>
      <c r="EB289" s="135"/>
      <c r="EC289" s="135"/>
      <c r="ED289" s="135"/>
      <c r="EE289" s="135"/>
      <c r="EF289" s="135"/>
      <c r="EG289" s="135"/>
      <c r="EH289" s="135"/>
      <c r="EI289" s="135"/>
      <c r="EJ289" s="135"/>
      <c r="EK289" s="135"/>
      <c r="EL289" s="135"/>
      <c r="EM289" s="135"/>
      <c r="EN289" s="135"/>
      <c r="EO289" s="135"/>
      <c r="EP289" s="135"/>
      <c r="EQ289" s="135"/>
      <c r="ER289" s="135"/>
      <c r="ES289" s="135"/>
      <c r="ET289" s="135"/>
      <c r="EU289" s="135"/>
      <c r="EV289" s="135"/>
      <c r="EW289" s="135"/>
      <c r="EX289" s="135"/>
      <c r="EY289" s="135"/>
      <c r="EZ289" s="135"/>
      <c r="FA289" s="135"/>
      <c r="FB289" s="135"/>
      <c r="FC289" s="135"/>
      <c r="FD289" s="135"/>
      <c r="FE289" s="135"/>
      <c r="FF289" s="135"/>
      <c r="FG289" s="135"/>
      <c r="FH289" s="135"/>
      <c r="FI289" s="135"/>
      <c r="FJ289" s="135"/>
      <c r="FK289" s="135"/>
      <c r="FL289" s="135"/>
      <c r="FM289" s="135"/>
      <c r="FN289" s="135"/>
      <c r="FO289" s="135"/>
      <c r="FP289" s="135"/>
      <c r="FQ289" s="135"/>
      <c r="FR289" s="135"/>
      <c r="FS289" s="135"/>
      <c r="FT289" s="135"/>
      <c r="FU289" s="135"/>
      <c r="FV289" s="135"/>
      <c r="FW289" s="135"/>
      <c r="FX289" s="135"/>
      <c r="FY289" s="135"/>
      <c r="FZ289" s="135"/>
      <c r="GA289" s="135"/>
      <c r="GB289" s="135"/>
      <c r="GC289" s="135"/>
      <c r="GD289" s="135"/>
      <c r="GE289" s="135"/>
      <c r="GF289" s="135"/>
      <c r="GG289" s="135"/>
      <c r="GH289" s="135"/>
      <c r="GI289" s="135"/>
      <c r="GJ289" s="135"/>
      <c r="GK289" s="135"/>
      <c r="GL289" s="135"/>
      <c r="GM289" s="135"/>
      <c r="GN289" s="135"/>
      <c r="GO289" s="135"/>
      <c r="GP289" s="135"/>
      <c r="GQ289" s="135"/>
      <c r="GR289" s="135"/>
      <c r="GS289" s="135"/>
      <c r="GT289" s="135"/>
      <c r="GU289" s="135"/>
      <c r="GV289" s="135"/>
      <c r="GW289" s="135"/>
      <c r="GX289" s="135"/>
      <c r="GY289" s="135"/>
      <c r="GZ289" s="135"/>
      <c r="HA289" s="135"/>
      <c r="HB289" s="135"/>
      <c r="HC289" s="135"/>
      <c r="HD289" s="135"/>
      <c r="HE289" s="135"/>
      <c r="HF289" s="135"/>
      <c r="HG289" s="135"/>
      <c r="HH289" s="135"/>
      <c r="HI289" s="135"/>
      <c r="HJ289" s="135"/>
      <c r="HK289" s="135"/>
      <c r="HL289" s="135"/>
      <c r="HM289" s="135"/>
      <c r="HN289" s="135"/>
      <c r="HO289" s="135"/>
      <c r="HP289" s="135"/>
      <c r="HQ289" s="135"/>
      <c r="HR289" s="135"/>
      <c r="HS289" s="135"/>
      <c r="HT289" s="135"/>
      <c r="HU289" s="135"/>
      <c r="HV289" s="135"/>
      <c r="HW289" s="135"/>
      <c r="HX289" s="135"/>
      <c r="HY289" s="135"/>
      <c r="HZ289" s="135"/>
      <c r="IA289" s="135"/>
      <c r="IB289" s="135"/>
      <c r="IC289" s="135"/>
      <c r="ID289" s="135"/>
      <c r="IE289" s="135"/>
      <c r="IF289" s="135"/>
      <c r="IG289" s="135"/>
      <c r="IH289" s="135"/>
      <c r="II289" s="135"/>
      <c r="IJ289" s="135"/>
      <c r="IK289" s="135"/>
      <c r="IL289" s="135"/>
      <c r="IM289" s="135"/>
      <c r="IN289" s="135"/>
      <c r="IO289" s="135"/>
      <c r="IP289" s="135"/>
      <c r="IQ289" s="135"/>
      <c r="IR289" s="135"/>
      <c r="IS289" s="135"/>
      <c r="IT289" s="135"/>
      <c r="IU289" s="135"/>
      <c r="IV289" s="135"/>
      <c r="IW289" s="135"/>
      <c r="IX289" s="135"/>
      <c r="IY289" s="135"/>
      <c r="IZ289" s="135"/>
      <c r="JA289" s="135"/>
      <c r="JB289" s="135"/>
      <c r="JC289" s="135"/>
    </row>
    <row r="290" spans="1:263" s="5" customFormat="1" ht="16.149999999999999" customHeight="1" x14ac:dyDescent="0.2">
      <c r="A290" s="30"/>
      <c r="B290" s="98" t="s">
        <v>465</v>
      </c>
      <c r="C290" s="32"/>
      <c r="D290" s="32">
        <v>1</v>
      </c>
      <c r="E290" s="89"/>
      <c r="F290" s="89"/>
      <c r="G290" s="89"/>
      <c r="H290" s="89">
        <f t="shared" ref="H290:H292" si="34">PRODUCT(D290:G290)</f>
        <v>1</v>
      </c>
      <c r="I290" s="89"/>
      <c r="J290" s="89"/>
      <c r="K290" s="157"/>
      <c r="L290" s="157"/>
      <c r="M290" s="158"/>
      <c r="O290" s="82">
        <f t="shared" si="27"/>
        <v>0</v>
      </c>
    </row>
    <row r="291" spans="1:263" s="5" customFormat="1" ht="16.149999999999999" customHeight="1" x14ac:dyDescent="0.2">
      <c r="A291" s="30"/>
      <c r="B291" s="98" t="s">
        <v>530</v>
      </c>
      <c r="C291" s="32"/>
      <c r="D291" s="32">
        <v>1</v>
      </c>
      <c r="E291" s="89"/>
      <c r="F291" s="89"/>
      <c r="G291" s="89"/>
      <c r="H291" s="89">
        <f t="shared" si="34"/>
        <v>1</v>
      </c>
      <c r="I291" s="89"/>
      <c r="J291" s="89"/>
      <c r="K291" s="157"/>
      <c r="L291" s="157"/>
      <c r="M291" s="158"/>
      <c r="O291" s="82">
        <f t="shared" si="27"/>
        <v>0</v>
      </c>
    </row>
    <row r="292" spans="1:263" s="5" customFormat="1" ht="15.6" customHeight="1" x14ac:dyDescent="0.2">
      <c r="A292" s="30"/>
      <c r="B292" s="98" t="s">
        <v>466</v>
      </c>
      <c r="C292" s="32"/>
      <c r="D292" s="32"/>
      <c r="E292" s="89"/>
      <c r="F292" s="89"/>
      <c r="G292" s="89"/>
      <c r="H292" s="89">
        <f t="shared" si="34"/>
        <v>0</v>
      </c>
      <c r="I292" s="89"/>
      <c r="J292" s="89"/>
      <c r="K292" s="157"/>
      <c r="L292" s="157"/>
      <c r="M292" s="158"/>
      <c r="O292" s="82">
        <f t="shared" si="27"/>
        <v>0</v>
      </c>
    </row>
    <row r="293" spans="1:263" s="136" customFormat="1" ht="15" customHeight="1" x14ac:dyDescent="0.2">
      <c r="A293" s="130" t="s">
        <v>162</v>
      </c>
      <c r="B293" s="141" t="s">
        <v>319</v>
      </c>
      <c r="C293" s="139" t="s">
        <v>76</v>
      </c>
      <c r="D293" s="132"/>
      <c r="E293" s="133"/>
      <c r="F293" s="133"/>
      <c r="G293" s="133"/>
      <c r="H293" s="133"/>
      <c r="I293" s="133"/>
      <c r="J293" s="133">
        <f>SUM(H294:H296)</f>
        <v>2</v>
      </c>
      <c r="K293" s="163">
        <v>2</v>
      </c>
      <c r="L293" s="163">
        <v>5000</v>
      </c>
      <c r="M293" s="158">
        <f t="shared" si="31"/>
        <v>10000</v>
      </c>
      <c r="N293" s="140"/>
      <c r="O293" s="82">
        <f t="shared" si="27"/>
        <v>0</v>
      </c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/>
      <c r="AU293" s="135"/>
      <c r="AV293" s="135"/>
      <c r="AW293" s="135"/>
      <c r="AX293" s="135"/>
      <c r="AY293" s="135"/>
      <c r="AZ293" s="135"/>
      <c r="BA293" s="135"/>
      <c r="BB293" s="135"/>
      <c r="BC293" s="135"/>
      <c r="BD293" s="135"/>
      <c r="BE293" s="135"/>
      <c r="BF293" s="135"/>
      <c r="BG293" s="135"/>
      <c r="BH293" s="135"/>
      <c r="BI293" s="135"/>
      <c r="BJ293" s="135"/>
      <c r="BK293" s="135"/>
      <c r="BL293" s="135"/>
      <c r="BM293" s="135"/>
      <c r="BN293" s="135"/>
      <c r="BO293" s="135"/>
      <c r="BP293" s="135"/>
      <c r="BQ293" s="135"/>
      <c r="BR293" s="135"/>
      <c r="BS293" s="135"/>
      <c r="BT293" s="135"/>
      <c r="BU293" s="135"/>
      <c r="BV293" s="135"/>
      <c r="BW293" s="135"/>
      <c r="BX293" s="135"/>
      <c r="BY293" s="135"/>
      <c r="BZ293" s="135"/>
      <c r="CA293" s="135"/>
      <c r="CB293" s="135"/>
      <c r="CC293" s="135"/>
      <c r="CD293" s="135"/>
      <c r="CE293" s="135"/>
      <c r="CF293" s="135"/>
      <c r="CG293" s="135"/>
      <c r="CH293" s="135"/>
      <c r="CI293" s="135"/>
      <c r="CJ293" s="135"/>
      <c r="CK293" s="135"/>
      <c r="CL293" s="135"/>
      <c r="CM293" s="135"/>
      <c r="CN293" s="135"/>
      <c r="CO293" s="135"/>
      <c r="CP293" s="135"/>
      <c r="CQ293" s="135"/>
      <c r="CR293" s="135"/>
      <c r="CS293" s="135"/>
      <c r="CT293" s="135"/>
      <c r="CU293" s="135"/>
      <c r="CV293" s="135"/>
      <c r="CW293" s="135"/>
      <c r="CX293" s="135"/>
      <c r="CY293" s="135"/>
      <c r="CZ293" s="135"/>
      <c r="DA293" s="135"/>
      <c r="DB293" s="135"/>
      <c r="DC293" s="135"/>
      <c r="DD293" s="135"/>
      <c r="DE293" s="135"/>
      <c r="DF293" s="135"/>
      <c r="DG293" s="135"/>
      <c r="DH293" s="135"/>
      <c r="DI293" s="135"/>
      <c r="DJ293" s="135"/>
      <c r="DK293" s="135"/>
      <c r="DL293" s="135"/>
      <c r="DM293" s="135"/>
      <c r="DN293" s="135"/>
      <c r="DO293" s="135"/>
      <c r="DP293" s="135"/>
      <c r="DQ293" s="135"/>
      <c r="DR293" s="135"/>
      <c r="DS293" s="135"/>
      <c r="DT293" s="135"/>
      <c r="DU293" s="135"/>
      <c r="DV293" s="135"/>
      <c r="DW293" s="135"/>
      <c r="DX293" s="135"/>
      <c r="DY293" s="135"/>
      <c r="DZ293" s="135"/>
      <c r="EA293" s="135"/>
      <c r="EB293" s="135"/>
      <c r="EC293" s="135"/>
      <c r="ED293" s="135"/>
      <c r="EE293" s="135"/>
      <c r="EF293" s="135"/>
      <c r="EG293" s="135"/>
      <c r="EH293" s="135"/>
      <c r="EI293" s="135"/>
      <c r="EJ293" s="135"/>
      <c r="EK293" s="135"/>
      <c r="EL293" s="135"/>
      <c r="EM293" s="135"/>
      <c r="EN293" s="135"/>
      <c r="EO293" s="135"/>
      <c r="EP293" s="135"/>
      <c r="EQ293" s="135"/>
      <c r="ER293" s="135"/>
      <c r="ES293" s="135"/>
      <c r="ET293" s="135"/>
      <c r="EU293" s="135"/>
      <c r="EV293" s="135"/>
      <c r="EW293" s="135"/>
      <c r="EX293" s="135"/>
      <c r="EY293" s="135"/>
      <c r="EZ293" s="135"/>
      <c r="FA293" s="135"/>
      <c r="FB293" s="135"/>
      <c r="FC293" s="135"/>
      <c r="FD293" s="135"/>
      <c r="FE293" s="135"/>
      <c r="FF293" s="135"/>
      <c r="FG293" s="135"/>
      <c r="FH293" s="135"/>
      <c r="FI293" s="135"/>
      <c r="FJ293" s="135"/>
      <c r="FK293" s="135"/>
      <c r="FL293" s="135"/>
      <c r="FM293" s="135"/>
      <c r="FN293" s="135"/>
      <c r="FO293" s="135"/>
      <c r="FP293" s="135"/>
      <c r="FQ293" s="135"/>
      <c r="FR293" s="135"/>
      <c r="FS293" s="135"/>
      <c r="FT293" s="135"/>
      <c r="FU293" s="135"/>
      <c r="FV293" s="135"/>
      <c r="FW293" s="135"/>
      <c r="FX293" s="135"/>
      <c r="FY293" s="135"/>
      <c r="FZ293" s="135"/>
      <c r="GA293" s="135"/>
      <c r="GB293" s="135"/>
      <c r="GC293" s="135"/>
      <c r="GD293" s="135"/>
      <c r="GE293" s="135"/>
      <c r="GF293" s="135"/>
      <c r="GG293" s="135"/>
      <c r="GH293" s="135"/>
      <c r="GI293" s="135"/>
      <c r="GJ293" s="135"/>
      <c r="GK293" s="135"/>
      <c r="GL293" s="135"/>
      <c r="GM293" s="135"/>
      <c r="GN293" s="135"/>
      <c r="GO293" s="135"/>
      <c r="GP293" s="135"/>
      <c r="GQ293" s="135"/>
      <c r="GR293" s="135"/>
      <c r="GS293" s="135"/>
      <c r="GT293" s="135"/>
      <c r="GU293" s="135"/>
      <c r="GV293" s="135"/>
      <c r="GW293" s="135"/>
      <c r="GX293" s="135"/>
      <c r="GY293" s="135"/>
      <c r="GZ293" s="135"/>
      <c r="HA293" s="135"/>
      <c r="HB293" s="135"/>
      <c r="HC293" s="135"/>
      <c r="HD293" s="135"/>
      <c r="HE293" s="135"/>
      <c r="HF293" s="135"/>
      <c r="HG293" s="135"/>
      <c r="HH293" s="135"/>
      <c r="HI293" s="135"/>
      <c r="HJ293" s="135"/>
      <c r="HK293" s="135"/>
      <c r="HL293" s="135"/>
      <c r="HM293" s="135"/>
      <c r="HN293" s="135"/>
      <c r="HO293" s="135"/>
      <c r="HP293" s="135"/>
      <c r="HQ293" s="135"/>
      <c r="HR293" s="135"/>
      <c r="HS293" s="135"/>
      <c r="HT293" s="135"/>
      <c r="HU293" s="135"/>
      <c r="HV293" s="135"/>
      <c r="HW293" s="135"/>
      <c r="HX293" s="135"/>
      <c r="HY293" s="135"/>
      <c r="HZ293" s="135"/>
      <c r="IA293" s="135"/>
      <c r="IB293" s="135"/>
      <c r="IC293" s="135"/>
      <c r="ID293" s="135"/>
      <c r="IE293" s="135"/>
      <c r="IF293" s="135"/>
      <c r="IG293" s="135"/>
      <c r="IH293" s="135"/>
      <c r="II293" s="135"/>
      <c r="IJ293" s="135"/>
      <c r="IK293" s="135"/>
      <c r="IL293" s="135"/>
      <c r="IM293" s="135"/>
      <c r="IN293" s="135"/>
      <c r="IO293" s="135"/>
      <c r="IP293" s="135"/>
      <c r="IQ293" s="135"/>
      <c r="IR293" s="135"/>
      <c r="IS293" s="135"/>
      <c r="IT293" s="135"/>
      <c r="IU293" s="135"/>
      <c r="IV293" s="135"/>
      <c r="IW293" s="135"/>
      <c r="IX293" s="135"/>
      <c r="IY293" s="135"/>
      <c r="IZ293" s="135"/>
      <c r="JA293" s="135"/>
      <c r="JB293" s="135"/>
      <c r="JC293" s="135"/>
    </row>
    <row r="294" spans="1:263" s="5" customFormat="1" ht="16.149999999999999" customHeight="1" x14ac:dyDescent="0.2">
      <c r="A294" s="30"/>
      <c r="B294" s="98" t="s">
        <v>465</v>
      </c>
      <c r="C294" s="32"/>
      <c r="D294" s="32">
        <v>1</v>
      </c>
      <c r="E294" s="89"/>
      <c r="F294" s="89"/>
      <c r="G294" s="89"/>
      <c r="H294" s="89">
        <f t="shared" ref="H294:H296" si="35">PRODUCT(D294:G294)</f>
        <v>1</v>
      </c>
      <c r="I294" s="89"/>
      <c r="J294" s="89"/>
      <c r="K294" s="157"/>
      <c r="L294" s="157"/>
      <c r="M294" s="158"/>
      <c r="O294" s="82">
        <f t="shared" si="27"/>
        <v>0</v>
      </c>
    </row>
    <row r="295" spans="1:263" s="5" customFormat="1" ht="16.149999999999999" customHeight="1" x14ac:dyDescent="0.2">
      <c r="A295" s="30"/>
      <c r="B295" s="98" t="s">
        <v>530</v>
      </c>
      <c r="C295" s="32"/>
      <c r="D295" s="32">
        <v>1</v>
      </c>
      <c r="E295" s="89"/>
      <c r="F295" s="89"/>
      <c r="G295" s="89"/>
      <c r="H295" s="89">
        <f t="shared" si="35"/>
        <v>1</v>
      </c>
      <c r="I295" s="89"/>
      <c r="J295" s="89"/>
      <c r="K295" s="157"/>
      <c r="L295" s="157"/>
      <c r="M295" s="158"/>
      <c r="O295" s="82">
        <f t="shared" si="27"/>
        <v>0</v>
      </c>
    </row>
    <row r="296" spans="1:263" s="5" customFormat="1" ht="15.6" customHeight="1" x14ac:dyDescent="0.2">
      <c r="A296" s="30"/>
      <c r="B296" s="98" t="s">
        <v>466</v>
      </c>
      <c r="C296" s="32"/>
      <c r="D296" s="32"/>
      <c r="E296" s="89"/>
      <c r="F296" s="89"/>
      <c r="G296" s="89"/>
      <c r="H296" s="89">
        <f t="shared" si="35"/>
        <v>0</v>
      </c>
      <c r="I296" s="89"/>
      <c r="J296" s="89"/>
      <c r="K296" s="157"/>
      <c r="L296" s="157"/>
      <c r="M296" s="158"/>
      <c r="O296" s="82">
        <f t="shared" si="27"/>
        <v>0</v>
      </c>
    </row>
    <row r="297" spans="1:263" s="14" customFormat="1" ht="24" x14ac:dyDescent="0.2">
      <c r="A297" s="40" t="s">
        <v>389</v>
      </c>
      <c r="B297" s="47" t="s">
        <v>436</v>
      </c>
      <c r="C297" s="32" t="s">
        <v>76</v>
      </c>
      <c r="D297" s="41"/>
      <c r="E297" s="90"/>
      <c r="F297" s="90"/>
      <c r="G297" s="90"/>
      <c r="H297" s="90"/>
      <c r="I297" s="90"/>
      <c r="J297" s="90"/>
      <c r="K297" s="163"/>
      <c r="L297" s="163">
        <v>1500</v>
      </c>
      <c r="M297" s="158">
        <f t="shared" si="31"/>
        <v>0</v>
      </c>
      <c r="N297" s="43"/>
      <c r="O297" s="82">
        <f t="shared" si="27"/>
        <v>0</v>
      </c>
    </row>
    <row r="298" spans="1:263" s="14" customFormat="1" x14ac:dyDescent="0.2">
      <c r="A298" s="40" t="s">
        <v>390</v>
      </c>
      <c r="B298" s="46" t="s">
        <v>391</v>
      </c>
      <c r="C298" s="32" t="s">
        <v>76</v>
      </c>
      <c r="D298" s="41"/>
      <c r="E298" s="90"/>
      <c r="F298" s="90"/>
      <c r="G298" s="90"/>
      <c r="H298" s="90"/>
      <c r="I298" s="90"/>
      <c r="J298" s="90"/>
      <c r="K298" s="163"/>
      <c r="L298" s="163">
        <v>3500</v>
      </c>
      <c r="M298" s="158">
        <f t="shared" si="31"/>
        <v>0</v>
      </c>
      <c r="N298" s="43"/>
      <c r="O298" s="82">
        <f t="shared" si="27"/>
        <v>0</v>
      </c>
    </row>
    <row r="299" spans="1:263" ht="18" customHeight="1" x14ac:dyDescent="0.2">
      <c r="A299" s="250" t="s">
        <v>100</v>
      </c>
      <c r="B299" s="251"/>
      <c r="C299" s="251"/>
      <c r="D299" s="251"/>
      <c r="E299" s="251"/>
      <c r="F299" s="251"/>
      <c r="G299" s="251"/>
      <c r="H299" s="251"/>
      <c r="I299" s="251"/>
      <c r="J299" s="251"/>
      <c r="K299" s="251"/>
      <c r="L299" s="252"/>
      <c r="M299" s="159">
        <f>SUM(M264:M298)</f>
        <v>39400</v>
      </c>
      <c r="O299" s="82">
        <f t="shared" si="27"/>
        <v>0</v>
      </c>
    </row>
    <row r="300" spans="1:263" ht="18" customHeight="1" x14ac:dyDescent="0.2">
      <c r="A300" s="24"/>
      <c r="B300" s="25" t="s">
        <v>163</v>
      </c>
      <c r="C300" s="26"/>
      <c r="D300" s="26"/>
      <c r="E300" s="88"/>
      <c r="F300" s="88"/>
      <c r="G300" s="88"/>
      <c r="H300" s="88"/>
      <c r="I300" s="88"/>
      <c r="J300" s="88"/>
      <c r="K300" s="155"/>
      <c r="L300" s="155"/>
      <c r="M300" s="158"/>
      <c r="O300" s="82">
        <f t="shared" si="27"/>
        <v>0</v>
      </c>
    </row>
    <row r="301" spans="1:263" ht="15.95" customHeight="1" x14ac:dyDescent="0.2">
      <c r="A301" s="30" t="s">
        <v>164</v>
      </c>
      <c r="B301" s="39" t="s">
        <v>289</v>
      </c>
      <c r="C301" s="32" t="s">
        <v>5</v>
      </c>
      <c r="D301" s="32"/>
      <c r="E301" s="89"/>
      <c r="F301" s="89"/>
      <c r="G301" s="89"/>
      <c r="H301" s="89"/>
      <c r="I301" s="89"/>
      <c r="J301" s="89">
        <f>SUM(I304:I363)</f>
        <v>133.31425000000004</v>
      </c>
      <c r="K301" s="157">
        <v>140</v>
      </c>
      <c r="L301" s="157">
        <v>1000</v>
      </c>
      <c r="M301" s="158">
        <f t="shared" ref="M301:M419" si="36">+L301*K301</f>
        <v>140000</v>
      </c>
      <c r="N301" s="34"/>
      <c r="O301" s="82">
        <f t="shared" si="27"/>
        <v>6.6857499999999561</v>
      </c>
    </row>
    <row r="302" spans="1:263" s="5" customFormat="1" ht="16.149999999999999" customHeight="1" x14ac:dyDescent="0.2">
      <c r="A302" s="30"/>
      <c r="B302" s="98" t="s">
        <v>464</v>
      </c>
      <c r="C302" s="32"/>
      <c r="D302" s="32"/>
      <c r="E302" s="89"/>
      <c r="F302" s="89"/>
      <c r="G302" s="89"/>
      <c r="H302" s="89"/>
      <c r="I302" s="89"/>
      <c r="K302" s="157"/>
      <c r="L302" s="157"/>
      <c r="M302" s="158"/>
      <c r="O302" s="82">
        <f t="shared" si="27"/>
        <v>0</v>
      </c>
    </row>
    <row r="303" spans="1:263" s="5" customFormat="1" ht="16.149999999999999" customHeight="1" x14ac:dyDescent="0.2">
      <c r="A303" s="30"/>
      <c r="B303" s="105" t="s">
        <v>474</v>
      </c>
      <c r="C303" s="32"/>
      <c r="D303" s="32"/>
      <c r="E303" s="89"/>
      <c r="F303" s="89"/>
      <c r="G303" s="89"/>
      <c r="H303" s="89"/>
      <c r="I303" s="89"/>
      <c r="K303" s="157"/>
      <c r="L303" s="157"/>
      <c r="M303" s="158"/>
      <c r="O303" s="82">
        <f t="shared" si="27"/>
        <v>0</v>
      </c>
    </row>
    <row r="304" spans="1:263" s="5" customFormat="1" ht="16.149999999999999" customHeight="1" x14ac:dyDescent="0.2">
      <c r="A304" s="30"/>
      <c r="B304" s="36" t="s">
        <v>473</v>
      </c>
      <c r="C304" s="32"/>
      <c r="D304" s="32">
        <v>30</v>
      </c>
      <c r="E304" s="89">
        <v>0.25</v>
      </c>
      <c r="F304" s="89">
        <v>0.3</v>
      </c>
      <c r="G304" s="89">
        <f>3+0.1+0.25</f>
        <v>3.35</v>
      </c>
      <c r="H304" s="89">
        <f>PRODUCT(D304:G304)</f>
        <v>7.5375000000000005</v>
      </c>
      <c r="I304" s="89"/>
      <c r="J304" s="89"/>
      <c r="K304" s="157"/>
      <c r="L304" s="157"/>
      <c r="M304" s="158"/>
      <c r="O304" s="82">
        <f t="shared" si="27"/>
        <v>0</v>
      </c>
    </row>
    <row r="305" spans="1:15" s="5" customFormat="1" ht="16.149999999999999" customHeight="1" x14ac:dyDescent="0.2">
      <c r="A305" s="30"/>
      <c r="B305" s="36" t="s">
        <v>471</v>
      </c>
      <c r="C305" s="32"/>
      <c r="D305" s="32">
        <v>2</v>
      </c>
      <c r="E305" s="89">
        <f>43.7+0.35</f>
        <v>44.050000000000004</v>
      </c>
      <c r="F305" s="89">
        <v>0.2</v>
      </c>
      <c r="G305" s="89">
        <v>0.7</v>
      </c>
      <c r="H305" s="89">
        <f>PRODUCT(D305:G305)</f>
        <v>12.334</v>
      </c>
      <c r="I305" s="89"/>
      <c r="J305" s="89"/>
      <c r="K305" s="157"/>
      <c r="L305" s="157"/>
      <c r="M305" s="158"/>
      <c r="O305" s="82">
        <f t="shared" si="27"/>
        <v>0</v>
      </c>
    </row>
    <row r="306" spans="1:15" s="5" customFormat="1" ht="16.149999999999999" customHeight="1" x14ac:dyDescent="0.2">
      <c r="A306" s="30"/>
      <c r="B306" s="36"/>
      <c r="C306" s="32"/>
      <c r="D306" s="32">
        <v>4</v>
      </c>
      <c r="E306" s="89">
        <f>15.2-0.5*2</f>
        <v>14.2</v>
      </c>
      <c r="F306" s="89">
        <v>0.2</v>
      </c>
      <c r="G306" s="89">
        <v>0.7</v>
      </c>
      <c r="H306" s="89">
        <f>PRODUCT(D306:G306)</f>
        <v>7.9519999999999991</v>
      </c>
      <c r="I306" s="89"/>
      <c r="J306" s="89"/>
      <c r="K306" s="157"/>
      <c r="L306" s="157"/>
      <c r="M306" s="158"/>
      <c r="O306" s="82">
        <f t="shared" si="27"/>
        <v>0</v>
      </c>
    </row>
    <row r="307" spans="1:15" s="5" customFormat="1" ht="16.149999999999999" customHeight="1" x14ac:dyDescent="0.2">
      <c r="A307" s="30"/>
      <c r="B307" s="36"/>
      <c r="C307" s="32"/>
      <c r="D307" s="32">
        <v>2</v>
      </c>
      <c r="E307" s="89">
        <f>43.7+0.35-8*0.25</f>
        <v>42.050000000000004</v>
      </c>
      <c r="F307" s="89">
        <v>0.2</v>
      </c>
      <c r="G307" s="89">
        <v>0.5</v>
      </c>
      <c r="H307" s="89">
        <f>PRODUCT(D307:G307)</f>
        <v>8.4100000000000019</v>
      </c>
      <c r="I307" s="89"/>
      <c r="J307" s="89"/>
      <c r="K307" s="157"/>
      <c r="L307" s="157"/>
      <c r="M307" s="158"/>
      <c r="O307" s="82">
        <f t="shared" si="27"/>
        <v>0</v>
      </c>
    </row>
    <row r="308" spans="1:15" s="5" customFormat="1" ht="16.149999999999999" customHeight="1" x14ac:dyDescent="0.2">
      <c r="A308" s="30"/>
      <c r="B308" s="36"/>
      <c r="C308" s="32"/>
      <c r="D308" s="32">
        <v>7</v>
      </c>
      <c r="E308" s="89">
        <f>11.25-0.25*2</f>
        <v>10.75</v>
      </c>
      <c r="F308" s="89">
        <v>0.2</v>
      </c>
      <c r="G308" s="89">
        <v>0.5</v>
      </c>
      <c r="H308" s="89">
        <f>PRODUCT(D308:G308)</f>
        <v>7.5250000000000004</v>
      </c>
      <c r="I308" s="89"/>
      <c r="J308" s="89"/>
      <c r="K308" s="157"/>
      <c r="L308" s="157"/>
      <c r="M308" s="158"/>
      <c r="O308" s="82">
        <f t="shared" si="27"/>
        <v>0</v>
      </c>
    </row>
    <row r="309" spans="1:15" s="5" customFormat="1" ht="16.149999999999999" customHeight="1" x14ac:dyDescent="0.2">
      <c r="A309" s="30"/>
      <c r="B309" s="36" t="s">
        <v>472</v>
      </c>
      <c r="C309" s="32"/>
      <c r="D309" s="32">
        <v>1</v>
      </c>
      <c r="E309" s="89">
        <v>11.25</v>
      </c>
      <c r="F309" s="89">
        <v>0.1</v>
      </c>
      <c r="G309" s="89">
        <v>0.8</v>
      </c>
      <c r="H309" s="89">
        <f t="shared" ref="H309:H310" si="37">PRODUCT(D309:G309)</f>
        <v>0.9</v>
      </c>
      <c r="I309" s="89"/>
      <c r="J309" s="89"/>
      <c r="K309" s="157"/>
      <c r="L309" s="157"/>
      <c r="M309" s="158"/>
      <c r="O309" s="82">
        <f t="shared" si="27"/>
        <v>0</v>
      </c>
    </row>
    <row r="310" spans="1:15" s="5" customFormat="1" ht="16.149999999999999" customHeight="1" x14ac:dyDescent="0.2">
      <c r="A310" s="30"/>
      <c r="B310" s="36"/>
      <c r="C310" s="32"/>
      <c r="D310" s="32">
        <v>2</v>
      </c>
      <c r="E310" s="89">
        <v>9.4</v>
      </c>
      <c r="F310" s="89">
        <v>0.1</v>
      </c>
      <c r="G310" s="89">
        <v>0.8</v>
      </c>
      <c r="H310" s="89">
        <f t="shared" si="37"/>
        <v>1.5040000000000002</v>
      </c>
      <c r="I310" s="89"/>
      <c r="J310" s="89"/>
      <c r="K310" s="157"/>
      <c r="L310" s="157"/>
      <c r="M310" s="158"/>
      <c r="O310" s="82">
        <f t="shared" si="27"/>
        <v>0</v>
      </c>
    </row>
    <row r="311" spans="1:15" s="5" customFormat="1" ht="16.149999999999999" customHeight="1" x14ac:dyDescent="0.2">
      <c r="A311" s="30"/>
      <c r="B311" s="36"/>
      <c r="C311" s="32"/>
      <c r="D311" s="32"/>
      <c r="E311" s="89"/>
      <c r="F311" s="89"/>
      <c r="G311" s="89"/>
      <c r="H311" s="89"/>
      <c r="I311" s="89"/>
      <c r="J311" s="89"/>
      <c r="K311" s="157"/>
      <c r="L311" s="157"/>
      <c r="M311" s="158"/>
      <c r="O311" s="82">
        <f t="shared" si="27"/>
        <v>0</v>
      </c>
    </row>
    <row r="312" spans="1:15" s="5" customFormat="1" ht="16.149999999999999" customHeight="1" x14ac:dyDescent="0.2">
      <c r="A312" s="30"/>
      <c r="B312" s="105" t="s">
        <v>475</v>
      </c>
      <c r="C312" s="32"/>
      <c r="D312" s="32"/>
      <c r="E312" s="89"/>
      <c r="F312" s="89"/>
      <c r="G312" s="89"/>
      <c r="H312" s="89"/>
      <c r="I312" s="89"/>
      <c r="K312" s="157"/>
      <c r="L312" s="157"/>
      <c r="M312" s="158"/>
      <c r="O312" s="82">
        <f t="shared" si="27"/>
        <v>0</v>
      </c>
    </row>
    <row r="313" spans="1:15" s="5" customFormat="1" ht="16.149999999999999" customHeight="1" x14ac:dyDescent="0.2">
      <c r="A313" s="30"/>
      <c r="B313" s="36" t="s">
        <v>473</v>
      </c>
      <c r="C313" s="32"/>
      <c r="D313" s="32">
        <v>30</v>
      </c>
      <c r="E313" s="89">
        <v>0.25</v>
      </c>
      <c r="F313" s="89">
        <v>0.3</v>
      </c>
      <c r="G313" s="89">
        <f>3+0.1+0.25</f>
        <v>3.35</v>
      </c>
      <c r="H313" s="89">
        <f>PRODUCT(D313:G313)</f>
        <v>7.5375000000000005</v>
      </c>
      <c r="I313" s="89"/>
      <c r="J313" s="89"/>
      <c r="K313" s="157"/>
      <c r="L313" s="157"/>
      <c r="M313" s="158"/>
      <c r="O313" s="82">
        <f t="shared" si="27"/>
        <v>0</v>
      </c>
    </row>
    <row r="314" spans="1:15" s="5" customFormat="1" ht="16.149999999999999" customHeight="1" x14ac:dyDescent="0.2">
      <c r="A314" s="30"/>
      <c r="B314" s="36" t="s">
        <v>471</v>
      </c>
      <c r="C314" s="32"/>
      <c r="D314" s="32">
        <v>4</v>
      </c>
      <c r="E314" s="89">
        <f>15.2-0.5*2</f>
        <v>14.2</v>
      </c>
      <c r="F314" s="89">
        <v>0.2</v>
      </c>
      <c r="G314" s="89">
        <v>0.5</v>
      </c>
      <c r="H314" s="89">
        <f>PRODUCT(D314:G314)</f>
        <v>5.68</v>
      </c>
      <c r="I314" s="89"/>
      <c r="J314" s="89"/>
      <c r="K314" s="157"/>
      <c r="L314" s="157"/>
      <c r="M314" s="158"/>
      <c r="O314" s="82">
        <f t="shared" si="27"/>
        <v>0</v>
      </c>
    </row>
    <row r="315" spans="1:15" s="5" customFormat="1" ht="16.149999999999999" customHeight="1" x14ac:dyDescent="0.2">
      <c r="A315" s="30"/>
      <c r="B315" s="36"/>
      <c r="C315" s="32"/>
      <c r="D315" s="32">
        <v>4</v>
      </c>
      <c r="E315" s="89">
        <f>43.7+0.35-8*0.25-9.5</f>
        <v>32.550000000000004</v>
      </c>
      <c r="F315" s="89">
        <v>0.2</v>
      </c>
      <c r="G315" s="89">
        <v>0.5</v>
      </c>
      <c r="H315" s="89">
        <f>PRODUCT(D315:G315)</f>
        <v>13.020000000000003</v>
      </c>
      <c r="I315" s="89"/>
      <c r="J315" s="89"/>
      <c r="K315" s="157"/>
      <c r="L315" s="157"/>
      <c r="M315" s="158"/>
      <c r="O315" s="82">
        <f t="shared" si="27"/>
        <v>0</v>
      </c>
    </row>
    <row r="316" spans="1:15" s="5" customFormat="1" ht="16.149999999999999" customHeight="1" x14ac:dyDescent="0.2">
      <c r="A316" s="30"/>
      <c r="B316" s="36"/>
      <c r="C316" s="32"/>
      <c r="D316" s="32">
        <v>6</v>
      </c>
      <c r="E316" s="89">
        <f>11.25-0.25*2</f>
        <v>10.75</v>
      </c>
      <c r="F316" s="89">
        <v>0.2</v>
      </c>
      <c r="G316" s="89">
        <v>0.5</v>
      </c>
      <c r="H316" s="89">
        <f>PRODUCT(D316:G316)</f>
        <v>6.45</v>
      </c>
      <c r="I316" s="89"/>
      <c r="J316" s="89"/>
      <c r="K316" s="157"/>
      <c r="L316" s="157"/>
      <c r="M316" s="158"/>
      <c r="O316" s="82">
        <f t="shared" si="27"/>
        <v>0</v>
      </c>
    </row>
    <row r="317" spans="1:15" s="5" customFormat="1" ht="16.149999999999999" customHeight="1" x14ac:dyDescent="0.2">
      <c r="A317" s="30"/>
      <c r="B317" s="36" t="s">
        <v>472</v>
      </c>
      <c r="C317" s="32"/>
      <c r="D317" s="32">
        <v>4</v>
      </c>
      <c r="E317" s="89">
        <v>15.2</v>
      </c>
      <c r="F317" s="89">
        <v>0.1</v>
      </c>
      <c r="G317" s="89">
        <v>0.8</v>
      </c>
      <c r="H317" s="89">
        <f t="shared" ref="H317:H318" si="38">PRODUCT(D317:G317)</f>
        <v>4.8640000000000008</v>
      </c>
      <c r="I317" s="89"/>
      <c r="J317" s="89"/>
      <c r="K317" s="157"/>
      <c r="L317" s="157"/>
      <c r="M317" s="158"/>
      <c r="O317" s="82">
        <f t="shared" si="27"/>
        <v>0</v>
      </c>
    </row>
    <row r="318" spans="1:15" s="5" customFormat="1" ht="16.149999999999999" customHeight="1" x14ac:dyDescent="0.2">
      <c r="A318" s="30"/>
      <c r="B318" s="36"/>
      <c r="C318" s="32"/>
      <c r="D318" s="32">
        <v>2</v>
      </c>
      <c r="E318" s="89">
        <f>34.2-0.2*4</f>
        <v>33.400000000000006</v>
      </c>
      <c r="F318" s="89">
        <v>0.1</v>
      </c>
      <c r="G318" s="89">
        <v>0.8</v>
      </c>
      <c r="H318" s="89">
        <f t="shared" si="38"/>
        <v>5.3440000000000012</v>
      </c>
      <c r="I318" s="89"/>
      <c r="J318" s="89"/>
      <c r="K318" s="157"/>
      <c r="L318" s="157"/>
      <c r="M318" s="158"/>
      <c r="O318" s="82">
        <f t="shared" si="27"/>
        <v>0</v>
      </c>
    </row>
    <row r="319" spans="1:15" s="5" customFormat="1" ht="16.149999999999999" customHeight="1" x14ac:dyDescent="0.2">
      <c r="A319" s="30"/>
      <c r="B319" s="36" t="s">
        <v>534</v>
      </c>
      <c r="C319" s="32"/>
      <c r="D319" s="32"/>
      <c r="E319" s="89"/>
      <c r="F319" s="89"/>
      <c r="G319" s="89"/>
      <c r="H319" s="89"/>
      <c r="I319" s="89"/>
      <c r="J319" s="89"/>
      <c r="K319" s="157"/>
      <c r="L319" s="157"/>
      <c r="M319" s="158"/>
      <c r="O319" s="82">
        <f t="shared" si="27"/>
        <v>0</v>
      </c>
    </row>
    <row r="320" spans="1:15" s="5" customFormat="1" ht="16.149999999999999" customHeight="1" x14ac:dyDescent="0.2">
      <c r="A320" s="30"/>
      <c r="B320" s="129" t="s">
        <v>535</v>
      </c>
      <c r="C320" s="32"/>
      <c r="D320" s="32">
        <v>2</v>
      </c>
      <c r="E320" s="89">
        <v>2</v>
      </c>
      <c r="F320" s="89">
        <v>3.4</v>
      </c>
      <c r="G320" s="89">
        <v>0.15</v>
      </c>
      <c r="H320" s="89">
        <f t="shared" ref="H320:H322" si="39">PRODUCT(D320:G320)</f>
        <v>2.04</v>
      </c>
      <c r="I320" s="89"/>
      <c r="J320" s="89"/>
      <c r="K320" s="157"/>
      <c r="L320" s="157"/>
      <c r="M320" s="158"/>
      <c r="O320" s="82">
        <f t="shared" si="27"/>
        <v>0</v>
      </c>
    </row>
    <row r="321" spans="1:15" s="5" customFormat="1" ht="16.149999999999999" customHeight="1" x14ac:dyDescent="0.2">
      <c r="A321" s="30"/>
      <c r="B321" s="129" t="s">
        <v>538</v>
      </c>
      <c r="C321" s="32"/>
      <c r="D321" s="32">
        <v>20</v>
      </c>
      <c r="E321" s="89">
        <v>0.3</v>
      </c>
      <c r="F321" s="89">
        <v>0.17</v>
      </c>
      <c r="G321" s="89">
        <v>2</v>
      </c>
      <c r="H321" s="89">
        <f t="shared" si="39"/>
        <v>2.04</v>
      </c>
      <c r="I321" s="89"/>
      <c r="J321" s="89"/>
      <c r="K321" s="157"/>
      <c r="L321" s="157"/>
      <c r="M321" s="158"/>
      <c r="O321" s="82">
        <f t="shared" si="27"/>
        <v>0</v>
      </c>
    </row>
    <row r="322" spans="1:15" s="5" customFormat="1" ht="16.149999999999999" customHeight="1" x14ac:dyDescent="0.2">
      <c r="A322" s="30"/>
      <c r="B322" s="129" t="s">
        <v>537</v>
      </c>
      <c r="C322" s="32"/>
      <c r="D322" s="32">
        <v>2</v>
      </c>
      <c r="E322" s="89">
        <v>3.4</v>
      </c>
      <c r="F322" s="89">
        <v>0.2</v>
      </c>
      <c r="G322" s="89">
        <v>1.6</v>
      </c>
      <c r="H322" s="89">
        <f t="shared" si="39"/>
        <v>2.1760000000000002</v>
      </c>
      <c r="I322" s="89"/>
      <c r="J322" s="89"/>
      <c r="K322" s="157"/>
      <c r="L322" s="157"/>
      <c r="M322" s="158"/>
      <c r="O322" s="82">
        <f t="shared" si="27"/>
        <v>0</v>
      </c>
    </row>
    <row r="323" spans="1:15" s="5" customFormat="1" ht="16.149999999999999" customHeight="1" x14ac:dyDescent="0.2">
      <c r="A323" s="30"/>
      <c r="B323" s="36"/>
      <c r="C323" s="32"/>
      <c r="D323" s="32"/>
      <c r="E323" s="89"/>
      <c r="F323" s="89"/>
      <c r="G323" s="89"/>
      <c r="H323" s="89"/>
      <c r="I323" s="89">
        <f>SUM(H304:H322)</f>
        <v>95.314000000000036</v>
      </c>
      <c r="J323" s="89"/>
      <c r="K323" s="157"/>
      <c r="L323" s="157"/>
      <c r="M323" s="158"/>
      <c r="O323" s="82">
        <f t="shared" si="27"/>
        <v>0</v>
      </c>
    </row>
    <row r="324" spans="1:15" s="5" customFormat="1" ht="16.149999999999999" customHeight="1" x14ac:dyDescent="0.2">
      <c r="A324" s="30"/>
      <c r="B324" s="98" t="s">
        <v>465</v>
      </c>
      <c r="C324" s="32"/>
      <c r="D324" s="32"/>
      <c r="E324" s="89"/>
      <c r="F324" s="89"/>
      <c r="G324" s="89"/>
      <c r="H324" s="89"/>
      <c r="I324" s="89"/>
      <c r="J324" s="89"/>
      <c r="K324" s="157"/>
      <c r="L324" s="157"/>
      <c r="M324" s="158"/>
      <c r="O324" s="82">
        <f t="shared" si="27"/>
        <v>0</v>
      </c>
    </row>
    <row r="325" spans="1:15" s="5" customFormat="1" ht="16.149999999999999" customHeight="1" x14ac:dyDescent="0.2">
      <c r="A325" s="30"/>
      <c r="B325" s="36" t="s">
        <v>473</v>
      </c>
      <c r="C325" s="32"/>
      <c r="D325" s="32">
        <v>15</v>
      </c>
      <c r="E325" s="89">
        <v>0.25</v>
      </c>
      <c r="F325" s="89">
        <v>0.3</v>
      </c>
      <c r="G325" s="89">
        <f>3+0.1+0.25</f>
        <v>3.35</v>
      </c>
      <c r="H325" s="89">
        <f>PRODUCT(D325:G325)</f>
        <v>3.7687500000000003</v>
      </c>
      <c r="I325" s="89"/>
      <c r="J325" s="89"/>
      <c r="K325" s="157"/>
      <c r="L325" s="157"/>
      <c r="M325" s="158"/>
      <c r="O325" s="82">
        <f t="shared" si="27"/>
        <v>0</v>
      </c>
    </row>
    <row r="326" spans="1:15" s="5" customFormat="1" ht="16.149999999999999" customHeight="1" x14ac:dyDescent="0.2">
      <c r="A326" s="30"/>
      <c r="B326" s="36" t="s">
        <v>471</v>
      </c>
      <c r="C326" s="32"/>
      <c r="D326" s="32">
        <v>2</v>
      </c>
      <c r="E326" s="89">
        <f>12.7+0.1*2</f>
        <v>12.899999999999999</v>
      </c>
      <c r="F326" s="89">
        <v>0.2</v>
      </c>
      <c r="G326" s="89">
        <v>0.5</v>
      </c>
      <c r="H326" s="89">
        <f t="shared" ref="H326:H334" si="40">PRODUCT(D326:G326)</f>
        <v>2.58</v>
      </c>
      <c r="I326" s="89"/>
      <c r="J326" s="89"/>
      <c r="K326" s="157"/>
      <c r="L326" s="157"/>
      <c r="M326" s="158"/>
      <c r="O326" s="82">
        <f t="shared" ref="O326:O389" si="41">K326-J326</f>
        <v>0</v>
      </c>
    </row>
    <row r="327" spans="1:15" s="5" customFormat="1" ht="16.149999999999999" customHeight="1" x14ac:dyDescent="0.2">
      <c r="A327" s="30"/>
      <c r="B327" s="36"/>
      <c r="C327" s="32"/>
      <c r="D327" s="32">
        <v>2</v>
      </c>
      <c r="E327" s="89">
        <f>10.8-0.5*2</f>
        <v>9.8000000000000007</v>
      </c>
      <c r="F327" s="89">
        <v>0.2</v>
      </c>
      <c r="G327" s="89">
        <v>0.5</v>
      </c>
      <c r="H327" s="89">
        <f t="shared" si="40"/>
        <v>1.9600000000000002</v>
      </c>
      <c r="I327" s="89"/>
      <c r="J327" s="89"/>
      <c r="K327" s="157"/>
      <c r="L327" s="157"/>
      <c r="M327" s="158"/>
      <c r="O327" s="82">
        <f t="shared" si="41"/>
        <v>0</v>
      </c>
    </row>
    <row r="328" spans="1:15" s="5" customFormat="1" ht="16.149999999999999" customHeight="1" x14ac:dyDescent="0.2">
      <c r="A328" s="30"/>
      <c r="B328" s="36"/>
      <c r="C328" s="32"/>
      <c r="D328" s="32">
        <v>1</v>
      </c>
      <c r="E328" s="89">
        <f>5.3+0.1+0.1+4.4+0.1-0.25*3</f>
        <v>9.2499999999999982</v>
      </c>
      <c r="F328" s="89">
        <v>0.2</v>
      </c>
      <c r="G328" s="89">
        <v>0.5</v>
      </c>
      <c r="H328" s="89">
        <f t="shared" si="40"/>
        <v>0.92499999999999982</v>
      </c>
      <c r="I328" s="89"/>
      <c r="J328" s="89"/>
      <c r="K328" s="157"/>
      <c r="L328" s="157"/>
      <c r="M328" s="158"/>
      <c r="O328" s="82">
        <f t="shared" si="41"/>
        <v>0</v>
      </c>
    </row>
    <row r="329" spans="1:15" s="5" customFormat="1" ht="16.149999999999999" customHeight="1" x14ac:dyDescent="0.2">
      <c r="A329" s="30"/>
      <c r="B329" s="36"/>
      <c r="C329" s="32"/>
      <c r="D329" s="32">
        <v>1</v>
      </c>
      <c r="E329" s="89">
        <f>12.3-0.25*4</f>
        <v>11.3</v>
      </c>
      <c r="F329" s="89">
        <v>0.2</v>
      </c>
      <c r="G329" s="89">
        <v>0.5</v>
      </c>
      <c r="H329" s="89">
        <f t="shared" si="40"/>
        <v>1.1300000000000001</v>
      </c>
      <c r="I329" s="89"/>
      <c r="J329" s="89"/>
      <c r="K329" s="157"/>
      <c r="L329" s="157"/>
      <c r="M329" s="158"/>
      <c r="O329" s="82">
        <f t="shared" si="41"/>
        <v>0</v>
      </c>
    </row>
    <row r="330" spans="1:15" s="5" customFormat="1" ht="16.149999999999999" customHeight="1" x14ac:dyDescent="0.2">
      <c r="A330" s="30"/>
      <c r="B330" s="36"/>
      <c r="C330" s="32"/>
      <c r="D330" s="32">
        <v>1</v>
      </c>
      <c r="E330" s="89">
        <f>9.8-0.25*3</f>
        <v>9.0500000000000007</v>
      </c>
      <c r="F330" s="89">
        <v>0.2</v>
      </c>
      <c r="G330" s="89">
        <v>0.5</v>
      </c>
      <c r="H330" s="89">
        <f t="shared" si="40"/>
        <v>0.90500000000000014</v>
      </c>
      <c r="I330" s="89"/>
      <c r="J330" s="89"/>
      <c r="K330" s="157"/>
      <c r="L330" s="157"/>
      <c r="M330" s="158"/>
      <c r="O330" s="82">
        <f t="shared" si="41"/>
        <v>0</v>
      </c>
    </row>
    <row r="331" spans="1:15" s="5" customFormat="1" ht="16.149999999999999" customHeight="1" x14ac:dyDescent="0.2">
      <c r="A331" s="30"/>
      <c r="B331" s="36"/>
      <c r="C331" s="32"/>
      <c r="D331" s="32">
        <v>1</v>
      </c>
      <c r="E331" s="89">
        <f>7.5-0.25*2</f>
        <v>7</v>
      </c>
      <c r="F331" s="89">
        <v>0.2</v>
      </c>
      <c r="G331" s="89">
        <v>0.5</v>
      </c>
      <c r="H331" s="89">
        <f t="shared" si="40"/>
        <v>0.70000000000000007</v>
      </c>
      <c r="I331" s="89"/>
      <c r="J331" s="89"/>
      <c r="K331" s="157"/>
      <c r="L331" s="157"/>
      <c r="M331" s="158"/>
      <c r="O331" s="82">
        <f t="shared" si="41"/>
        <v>0</v>
      </c>
    </row>
    <row r="332" spans="1:15" s="5" customFormat="1" ht="16.149999999999999" customHeight="1" x14ac:dyDescent="0.2">
      <c r="A332" s="30"/>
      <c r="B332" s="36"/>
      <c r="C332" s="32"/>
      <c r="D332" s="32">
        <v>1</v>
      </c>
      <c r="E332" s="89">
        <f>3.6+2.7+0.1+3+0.2-0.25*4</f>
        <v>8.6</v>
      </c>
      <c r="F332" s="89">
        <v>0.2</v>
      </c>
      <c r="G332" s="89">
        <v>0.5</v>
      </c>
      <c r="H332" s="89">
        <f t="shared" si="40"/>
        <v>0.86</v>
      </c>
      <c r="I332" s="89"/>
      <c r="J332" s="89"/>
      <c r="K332" s="157"/>
      <c r="L332" s="157"/>
      <c r="M332" s="158"/>
      <c r="O332" s="82">
        <f t="shared" si="41"/>
        <v>0</v>
      </c>
    </row>
    <row r="333" spans="1:15" s="5" customFormat="1" ht="16.149999999999999" customHeight="1" x14ac:dyDescent="0.2">
      <c r="A333" s="30"/>
      <c r="B333" s="36" t="s">
        <v>472</v>
      </c>
      <c r="C333" s="32"/>
      <c r="D333" s="32">
        <v>2</v>
      </c>
      <c r="E333" s="89">
        <f>12.7+0.1*2</f>
        <v>12.899999999999999</v>
      </c>
      <c r="F333" s="89">
        <v>0.1</v>
      </c>
      <c r="G333" s="89">
        <v>0.8</v>
      </c>
      <c r="H333" s="89">
        <f t="shared" si="40"/>
        <v>2.0640000000000001</v>
      </c>
      <c r="I333" s="89"/>
      <c r="J333" s="89"/>
      <c r="K333" s="157"/>
      <c r="L333" s="157"/>
      <c r="M333" s="158"/>
      <c r="O333" s="82">
        <f t="shared" si="41"/>
        <v>0</v>
      </c>
    </row>
    <row r="334" spans="1:15" s="5" customFormat="1" ht="16.149999999999999" customHeight="1" x14ac:dyDescent="0.2">
      <c r="A334" s="30"/>
      <c r="B334" s="36"/>
      <c r="C334" s="32"/>
      <c r="D334" s="32">
        <v>2</v>
      </c>
      <c r="E334" s="89">
        <f>10.8-0.1*2</f>
        <v>10.600000000000001</v>
      </c>
      <c r="F334" s="89">
        <v>0.1</v>
      </c>
      <c r="G334" s="89">
        <v>0.8</v>
      </c>
      <c r="H334" s="89">
        <f t="shared" si="40"/>
        <v>1.6960000000000006</v>
      </c>
      <c r="I334" s="89"/>
      <c r="J334" s="89"/>
      <c r="K334" s="157"/>
      <c r="L334" s="157"/>
      <c r="M334" s="158"/>
      <c r="O334" s="82">
        <f t="shared" si="41"/>
        <v>0</v>
      </c>
    </row>
    <row r="335" spans="1:15" s="5" customFormat="1" ht="16.149999999999999" customHeight="1" x14ac:dyDescent="0.2">
      <c r="A335" s="30"/>
      <c r="B335" s="36"/>
      <c r="C335" s="32"/>
      <c r="D335" s="32"/>
      <c r="E335" s="89"/>
      <c r="F335" s="89"/>
      <c r="G335" s="89"/>
      <c r="H335" s="89"/>
      <c r="I335" s="89">
        <f>SUM(H325:H334)</f>
        <v>16.588750000000001</v>
      </c>
      <c r="J335" s="89"/>
      <c r="K335" s="157"/>
      <c r="L335" s="157"/>
      <c r="M335" s="158"/>
      <c r="O335" s="82">
        <f t="shared" si="41"/>
        <v>0</v>
      </c>
    </row>
    <row r="336" spans="1:15" s="5" customFormat="1" ht="16.149999999999999" customHeight="1" x14ac:dyDescent="0.2">
      <c r="A336" s="30"/>
      <c r="B336" s="98" t="s">
        <v>530</v>
      </c>
      <c r="C336" s="32"/>
      <c r="D336" s="32"/>
      <c r="E336" s="89"/>
      <c r="F336" s="89"/>
      <c r="G336" s="89"/>
      <c r="H336" s="89">
        <f t="shared" ref="H336:H345" si="42">PRODUCT(D336:G336)</f>
        <v>0</v>
      </c>
      <c r="I336" s="89"/>
      <c r="J336" s="89"/>
      <c r="K336" s="157"/>
      <c r="L336" s="157"/>
      <c r="M336" s="158"/>
      <c r="O336" s="82">
        <f t="shared" si="41"/>
        <v>0</v>
      </c>
    </row>
    <row r="337" spans="1:15" s="5" customFormat="1" ht="16.149999999999999" customHeight="1" x14ac:dyDescent="0.2">
      <c r="A337" s="30"/>
      <c r="B337" s="36" t="s">
        <v>473</v>
      </c>
      <c r="C337" s="32"/>
      <c r="D337" s="32">
        <v>18</v>
      </c>
      <c r="E337" s="89">
        <v>0.25</v>
      </c>
      <c r="F337" s="89">
        <v>0.3</v>
      </c>
      <c r="G337" s="89">
        <f>3+0.1+0.25</f>
        <v>3.35</v>
      </c>
      <c r="H337" s="89">
        <f>PRODUCT(D337:G337)</f>
        <v>4.5225</v>
      </c>
      <c r="I337" s="89"/>
      <c r="J337" s="89"/>
      <c r="K337" s="157"/>
      <c r="L337" s="157"/>
      <c r="M337" s="158"/>
      <c r="O337" s="82">
        <f t="shared" si="41"/>
        <v>0</v>
      </c>
    </row>
    <row r="338" spans="1:15" s="5" customFormat="1" ht="16.149999999999999" customHeight="1" x14ac:dyDescent="0.2">
      <c r="A338" s="30"/>
      <c r="B338" s="36" t="s">
        <v>471</v>
      </c>
      <c r="C338" s="32"/>
      <c r="D338" s="32">
        <v>2</v>
      </c>
      <c r="E338" s="89">
        <v>11.3</v>
      </c>
      <c r="F338" s="89">
        <v>0.2</v>
      </c>
      <c r="G338" s="89">
        <v>0.5</v>
      </c>
      <c r="H338" s="89">
        <f t="shared" si="42"/>
        <v>2.2600000000000002</v>
      </c>
      <c r="I338" s="89"/>
      <c r="J338" s="89"/>
      <c r="K338" s="157"/>
      <c r="L338" s="157"/>
      <c r="M338" s="158"/>
      <c r="O338" s="82">
        <f t="shared" si="41"/>
        <v>0</v>
      </c>
    </row>
    <row r="339" spans="1:15" s="5" customFormat="1" ht="16.149999999999999" customHeight="1" x14ac:dyDescent="0.2">
      <c r="A339" s="30"/>
      <c r="B339" s="36"/>
      <c r="C339" s="32"/>
      <c r="D339" s="32">
        <v>2</v>
      </c>
      <c r="E339" s="89">
        <f>9.75-0.5*2</f>
        <v>8.75</v>
      </c>
      <c r="F339" s="89">
        <v>0.45</v>
      </c>
      <c r="G339" s="89">
        <v>0.35</v>
      </c>
      <c r="H339" s="89">
        <f t="shared" si="42"/>
        <v>2.7562499999999996</v>
      </c>
      <c r="I339" s="89"/>
      <c r="J339" s="89"/>
      <c r="K339" s="157"/>
      <c r="L339" s="157"/>
      <c r="M339" s="158"/>
      <c r="O339" s="82">
        <f t="shared" si="41"/>
        <v>0</v>
      </c>
    </row>
    <row r="340" spans="1:15" s="5" customFormat="1" ht="16.149999999999999" customHeight="1" x14ac:dyDescent="0.2">
      <c r="A340" s="30"/>
      <c r="B340" s="36"/>
      <c r="C340" s="32"/>
      <c r="D340" s="32">
        <v>2</v>
      </c>
      <c r="E340" s="89">
        <f>8.6-0.25*3</f>
        <v>7.85</v>
      </c>
      <c r="F340" s="89">
        <v>0.2</v>
      </c>
      <c r="G340" s="89">
        <v>0.5</v>
      </c>
      <c r="H340" s="89">
        <f t="shared" si="42"/>
        <v>1.57</v>
      </c>
      <c r="I340" s="89"/>
      <c r="J340" s="89"/>
      <c r="K340" s="157"/>
      <c r="L340" s="157"/>
      <c r="M340" s="158"/>
      <c r="O340" s="82">
        <f t="shared" si="41"/>
        <v>0</v>
      </c>
    </row>
    <row r="341" spans="1:15" s="5" customFormat="1" ht="16.149999999999999" customHeight="1" x14ac:dyDescent="0.2">
      <c r="A341" s="30"/>
      <c r="B341" s="36"/>
      <c r="C341" s="32"/>
      <c r="D341" s="32">
        <v>1</v>
      </c>
      <c r="E341" s="89">
        <f>9.15-0.25*5</f>
        <v>7.9</v>
      </c>
      <c r="F341" s="89">
        <v>0.2</v>
      </c>
      <c r="G341" s="89">
        <v>0.5</v>
      </c>
      <c r="H341" s="89">
        <f t="shared" si="42"/>
        <v>0.79</v>
      </c>
      <c r="I341" s="89"/>
      <c r="J341" s="89"/>
      <c r="K341" s="157"/>
      <c r="L341" s="157"/>
      <c r="M341" s="158"/>
      <c r="O341" s="82">
        <f t="shared" si="41"/>
        <v>0</v>
      </c>
    </row>
    <row r="342" spans="1:15" s="5" customFormat="1" ht="16.149999999999999" customHeight="1" x14ac:dyDescent="0.2">
      <c r="A342" s="30"/>
      <c r="B342" s="36"/>
      <c r="C342" s="32"/>
      <c r="D342" s="32">
        <v>1</v>
      </c>
      <c r="E342" s="89">
        <f>2.8-0.25</f>
        <v>2.5499999999999998</v>
      </c>
      <c r="F342" s="89">
        <v>0.2</v>
      </c>
      <c r="G342" s="89">
        <v>0.5</v>
      </c>
      <c r="H342" s="89">
        <f t="shared" si="42"/>
        <v>0.255</v>
      </c>
      <c r="I342" s="89"/>
      <c r="J342" s="89"/>
      <c r="K342" s="157"/>
      <c r="L342" s="157"/>
      <c r="M342" s="158"/>
      <c r="O342" s="82">
        <f t="shared" si="41"/>
        <v>0</v>
      </c>
    </row>
    <row r="343" spans="1:15" s="5" customFormat="1" ht="16.149999999999999" customHeight="1" x14ac:dyDescent="0.2">
      <c r="A343" s="30"/>
      <c r="B343" s="36" t="s">
        <v>472</v>
      </c>
      <c r="C343" s="32"/>
      <c r="D343" s="32">
        <v>2</v>
      </c>
      <c r="E343" s="89">
        <v>10.7</v>
      </c>
      <c r="F343" s="89">
        <v>0.1</v>
      </c>
      <c r="G343" s="89">
        <v>0.8</v>
      </c>
      <c r="H343" s="89">
        <f t="shared" si="42"/>
        <v>1.7120000000000002</v>
      </c>
      <c r="I343" s="89"/>
      <c r="J343" s="89"/>
      <c r="K343" s="157"/>
      <c r="L343" s="157"/>
      <c r="M343" s="158"/>
      <c r="O343" s="82">
        <f t="shared" si="41"/>
        <v>0</v>
      </c>
    </row>
    <row r="344" spans="1:15" s="5" customFormat="1" ht="16.149999999999999" customHeight="1" x14ac:dyDescent="0.2">
      <c r="A344" s="30"/>
      <c r="B344" s="36"/>
      <c r="C344" s="32"/>
      <c r="D344" s="32">
        <v>2</v>
      </c>
      <c r="E344" s="89">
        <f>10.8-0.1*2</f>
        <v>10.600000000000001</v>
      </c>
      <c r="F344" s="89">
        <v>0.1</v>
      </c>
      <c r="G344" s="89">
        <v>0.8</v>
      </c>
      <c r="H344" s="89">
        <f t="shared" si="42"/>
        <v>1.6960000000000006</v>
      </c>
      <c r="I344" s="89"/>
      <c r="J344" s="89"/>
      <c r="K344" s="157"/>
      <c r="L344" s="157"/>
      <c r="M344" s="158"/>
      <c r="O344" s="82">
        <f t="shared" si="41"/>
        <v>0</v>
      </c>
    </row>
    <row r="345" spans="1:15" s="5" customFormat="1" ht="16.149999999999999" customHeight="1" x14ac:dyDescent="0.2">
      <c r="A345" s="30"/>
      <c r="B345" s="36"/>
      <c r="C345" s="32"/>
      <c r="D345" s="32"/>
      <c r="E345" s="89"/>
      <c r="F345" s="89"/>
      <c r="G345" s="89"/>
      <c r="H345" s="89">
        <f t="shared" si="42"/>
        <v>0</v>
      </c>
      <c r="I345" s="89">
        <f>SUM(H338:H342)</f>
        <v>7.6312499999999996</v>
      </c>
      <c r="J345" s="89"/>
      <c r="K345" s="157"/>
      <c r="L345" s="157"/>
      <c r="M345" s="158"/>
      <c r="O345" s="82">
        <f t="shared" si="41"/>
        <v>0</v>
      </c>
    </row>
    <row r="346" spans="1:15" s="5" customFormat="1" ht="16.149999999999999" customHeight="1" x14ac:dyDescent="0.2">
      <c r="A346" s="30"/>
      <c r="B346" s="98" t="s">
        <v>466</v>
      </c>
      <c r="C346" s="32"/>
      <c r="D346" s="32"/>
      <c r="E346" s="89"/>
      <c r="F346" s="89"/>
      <c r="G346" s="89"/>
      <c r="H346" s="89"/>
      <c r="I346" s="89"/>
      <c r="J346" s="89"/>
      <c r="K346" s="157"/>
      <c r="L346" s="157"/>
      <c r="M346" s="158"/>
      <c r="O346" s="82">
        <f t="shared" si="41"/>
        <v>0</v>
      </c>
    </row>
    <row r="347" spans="1:15" s="5" customFormat="1" ht="16.149999999999999" customHeight="1" x14ac:dyDescent="0.2">
      <c r="A347" s="30"/>
      <c r="B347" s="36" t="s">
        <v>473</v>
      </c>
      <c r="C347" s="32"/>
      <c r="D347" s="32">
        <v>9</v>
      </c>
      <c r="E347" s="89">
        <v>0.25</v>
      </c>
      <c r="F347" s="89">
        <v>0.3</v>
      </c>
      <c r="G347" s="89">
        <f>3+0.1+0.25</f>
        <v>3.35</v>
      </c>
      <c r="H347" s="89">
        <f>PRODUCT(D347:G347)</f>
        <v>2.26125</v>
      </c>
      <c r="I347" s="89"/>
      <c r="J347" s="89"/>
      <c r="K347" s="157"/>
      <c r="L347" s="157"/>
      <c r="M347" s="158"/>
      <c r="O347" s="82">
        <f t="shared" si="41"/>
        <v>0</v>
      </c>
    </row>
    <row r="348" spans="1:15" s="5" customFormat="1" ht="16.149999999999999" customHeight="1" x14ac:dyDescent="0.2">
      <c r="A348" s="30"/>
      <c r="B348" s="36" t="s">
        <v>471</v>
      </c>
      <c r="C348" s="32"/>
      <c r="D348" s="32">
        <v>2</v>
      </c>
      <c r="E348" s="89">
        <f>8.8+0.1*2</f>
        <v>9</v>
      </c>
      <c r="F348" s="89">
        <v>0.2</v>
      </c>
      <c r="G348" s="89">
        <v>0.5</v>
      </c>
      <c r="H348" s="89">
        <f t="shared" ref="H348:H353" si="43">PRODUCT(D348:G348)</f>
        <v>1.8</v>
      </c>
      <c r="I348" s="89"/>
      <c r="J348" s="89"/>
      <c r="K348" s="157"/>
      <c r="L348" s="157"/>
      <c r="M348" s="158"/>
      <c r="O348" s="82">
        <f t="shared" si="41"/>
        <v>0</v>
      </c>
    </row>
    <row r="349" spans="1:15" s="5" customFormat="1" ht="16.149999999999999" customHeight="1" x14ac:dyDescent="0.2">
      <c r="A349" s="30"/>
      <c r="B349" s="36"/>
      <c r="C349" s="32"/>
      <c r="D349" s="32">
        <v>2</v>
      </c>
      <c r="E349" s="89">
        <f>9.8-0.5*2</f>
        <v>8.8000000000000007</v>
      </c>
      <c r="F349" s="89">
        <v>0.2</v>
      </c>
      <c r="G349" s="89">
        <v>0.5</v>
      </c>
      <c r="H349" s="89">
        <f t="shared" si="43"/>
        <v>1.7600000000000002</v>
      </c>
      <c r="I349" s="89"/>
      <c r="J349" s="89"/>
      <c r="K349" s="157"/>
      <c r="L349" s="157"/>
      <c r="M349" s="158"/>
      <c r="O349" s="82">
        <f t="shared" si="41"/>
        <v>0</v>
      </c>
    </row>
    <row r="350" spans="1:15" s="5" customFormat="1" ht="16.149999999999999" customHeight="1" x14ac:dyDescent="0.2">
      <c r="A350" s="30"/>
      <c r="B350" s="36"/>
      <c r="C350" s="32"/>
      <c r="D350" s="32">
        <v>1</v>
      </c>
      <c r="E350" s="89">
        <f>8.8-0.25*3</f>
        <v>8.0500000000000007</v>
      </c>
      <c r="F350" s="89">
        <v>0.2</v>
      </c>
      <c r="G350" s="89">
        <v>0.5</v>
      </c>
      <c r="H350" s="89">
        <f t="shared" si="43"/>
        <v>0.80500000000000016</v>
      </c>
      <c r="I350" s="89"/>
      <c r="J350" s="89"/>
      <c r="K350" s="157"/>
      <c r="L350" s="157"/>
      <c r="M350" s="158"/>
      <c r="O350" s="82">
        <f t="shared" si="41"/>
        <v>0</v>
      </c>
    </row>
    <row r="351" spans="1:15" s="5" customFormat="1" ht="16.149999999999999" customHeight="1" x14ac:dyDescent="0.2">
      <c r="A351" s="30"/>
      <c r="B351" s="36"/>
      <c r="C351" s="32"/>
      <c r="D351" s="32">
        <v>1</v>
      </c>
      <c r="E351" s="89">
        <f>9.8-0.25*3</f>
        <v>9.0500000000000007</v>
      </c>
      <c r="F351" s="89">
        <v>0.2</v>
      </c>
      <c r="G351" s="89">
        <v>0.5</v>
      </c>
      <c r="H351" s="89">
        <f t="shared" si="43"/>
        <v>0.90500000000000014</v>
      </c>
      <c r="I351" s="89"/>
      <c r="J351" s="89"/>
      <c r="K351" s="157"/>
      <c r="L351" s="157"/>
      <c r="M351" s="158"/>
      <c r="O351" s="82">
        <f t="shared" si="41"/>
        <v>0</v>
      </c>
    </row>
    <row r="352" spans="1:15" s="5" customFormat="1" ht="16.149999999999999" customHeight="1" x14ac:dyDescent="0.2">
      <c r="A352" s="30"/>
      <c r="B352" s="36" t="s">
        <v>472</v>
      </c>
      <c r="C352" s="32"/>
      <c r="D352" s="32">
        <v>2</v>
      </c>
      <c r="E352" s="89">
        <f>8.8+0.1*2</f>
        <v>9</v>
      </c>
      <c r="F352" s="89">
        <v>0.1</v>
      </c>
      <c r="G352" s="89">
        <v>0.8</v>
      </c>
      <c r="H352" s="89">
        <f t="shared" si="43"/>
        <v>1.4400000000000002</v>
      </c>
      <c r="I352" s="89"/>
      <c r="J352" s="89"/>
      <c r="K352" s="157"/>
      <c r="L352" s="157"/>
      <c r="M352" s="158"/>
      <c r="O352" s="82">
        <f t="shared" si="41"/>
        <v>0</v>
      </c>
    </row>
    <row r="353" spans="1:15" s="5" customFormat="1" ht="16.149999999999999" customHeight="1" x14ac:dyDescent="0.2">
      <c r="A353" s="30"/>
      <c r="B353" s="36"/>
      <c r="C353" s="32"/>
      <c r="D353" s="32">
        <v>2</v>
      </c>
      <c r="E353" s="89">
        <f>9.8-0.1*2</f>
        <v>9.6000000000000014</v>
      </c>
      <c r="F353" s="89">
        <v>0.1</v>
      </c>
      <c r="G353" s="89">
        <v>0.8</v>
      </c>
      <c r="H353" s="89">
        <f t="shared" si="43"/>
        <v>1.5360000000000005</v>
      </c>
      <c r="I353" s="89"/>
      <c r="J353" s="89"/>
      <c r="K353" s="157"/>
      <c r="L353" s="157"/>
      <c r="M353" s="158"/>
      <c r="O353" s="82">
        <f t="shared" si="41"/>
        <v>0</v>
      </c>
    </row>
    <row r="354" spans="1:15" s="5" customFormat="1" ht="16.149999999999999" customHeight="1" x14ac:dyDescent="0.2">
      <c r="A354" s="30"/>
      <c r="B354" s="36"/>
      <c r="C354" s="32"/>
      <c r="D354" s="32"/>
      <c r="E354" s="89"/>
      <c r="F354" s="89"/>
      <c r="G354" s="89"/>
      <c r="H354" s="89"/>
      <c r="I354" s="89">
        <f>SUM(H347:H354)</f>
        <v>10.507250000000003</v>
      </c>
      <c r="J354" s="89"/>
      <c r="K354" s="157"/>
      <c r="L354" s="157"/>
      <c r="M354" s="158"/>
      <c r="O354" s="82">
        <f t="shared" si="41"/>
        <v>0</v>
      </c>
    </row>
    <row r="355" spans="1:15" s="5" customFormat="1" ht="16.149999999999999" customHeight="1" x14ac:dyDescent="0.2">
      <c r="A355" s="30"/>
      <c r="B355" s="36"/>
      <c r="C355" s="32"/>
      <c r="D355" s="32"/>
      <c r="E355" s="89"/>
      <c r="F355" s="89"/>
      <c r="G355" s="89"/>
      <c r="H355" s="89"/>
      <c r="I355" s="89"/>
      <c r="J355" s="89"/>
      <c r="K355" s="157"/>
      <c r="L355" s="157"/>
      <c r="M355" s="158"/>
      <c r="O355" s="82">
        <f t="shared" si="41"/>
        <v>0</v>
      </c>
    </row>
    <row r="356" spans="1:15" s="5" customFormat="1" ht="16.149999999999999" customHeight="1" x14ac:dyDescent="0.2">
      <c r="A356" s="30"/>
      <c r="B356" s="98" t="s">
        <v>467</v>
      </c>
      <c r="C356" s="32"/>
      <c r="D356" s="32"/>
      <c r="E356" s="89"/>
      <c r="F356" s="89"/>
      <c r="G356" s="89"/>
      <c r="H356" s="89"/>
      <c r="I356" s="89"/>
      <c r="J356" s="89"/>
      <c r="K356" s="157"/>
      <c r="L356" s="157"/>
      <c r="M356" s="158"/>
      <c r="O356" s="82">
        <f t="shared" si="41"/>
        <v>0</v>
      </c>
    </row>
    <row r="357" spans="1:15" s="5" customFormat="1" ht="16.149999999999999" customHeight="1" x14ac:dyDescent="0.2">
      <c r="A357" s="30"/>
      <c r="B357" s="36" t="s">
        <v>473</v>
      </c>
      <c r="C357" s="32"/>
      <c r="D357" s="32">
        <v>4</v>
      </c>
      <c r="E357" s="89">
        <v>0.25</v>
      </c>
      <c r="F357" s="89">
        <v>0.3</v>
      </c>
      <c r="G357" s="89">
        <f>2.8+0.1+0.25</f>
        <v>3.15</v>
      </c>
      <c r="H357" s="89">
        <f>PRODUCT(D357:G357)</f>
        <v>0.94499999999999995</v>
      </c>
      <c r="I357" s="89"/>
      <c r="J357" s="89"/>
      <c r="K357" s="157"/>
      <c r="L357" s="157"/>
      <c r="M357" s="158"/>
      <c r="O357" s="82">
        <f t="shared" si="41"/>
        <v>0</v>
      </c>
    </row>
    <row r="358" spans="1:15" s="5" customFormat="1" ht="16.149999999999999" customHeight="1" x14ac:dyDescent="0.2">
      <c r="A358" s="30"/>
      <c r="B358" s="36" t="s">
        <v>471</v>
      </c>
      <c r="C358" s="32"/>
      <c r="D358" s="32">
        <v>2</v>
      </c>
      <c r="E358" s="89">
        <f>2.4+0.1*2</f>
        <v>2.6</v>
      </c>
      <c r="F358" s="89">
        <v>0.4</v>
      </c>
      <c r="G358" s="89">
        <f t="shared" ref="G358:G359" si="44">0.2+0.15</f>
        <v>0.35</v>
      </c>
      <c r="H358" s="89">
        <f t="shared" ref="H358:H362" si="45">PRODUCT(D358:G358)</f>
        <v>0.72799999999999998</v>
      </c>
      <c r="I358" s="89"/>
      <c r="J358" s="89"/>
      <c r="K358" s="157"/>
      <c r="L358" s="157"/>
      <c r="M358" s="158"/>
      <c r="O358" s="82">
        <f t="shared" si="41"/>
        <v>0</v>
      </c>
    </row>
    <row r="359" spans="1:15" s="5" customFormat="1" ht="16.149999999999999" customHeight="1" x14ac:dyDescent="0.2">
      <c r="A359" s="30"/>
      <c r="B359" s="36"/>
      <c r="C359" s="32"/>
      <c r="D359" s="32">
        <v>2</v>
      </c>
      <c r="E359" s="89">
        <f>3.4-0.5*2</f>
        <v>2.4</v>
      </c>
      <c r="F359" s="89">
        <v>0.4</v>
      </c>
      <c r="G359" s="89">
        <f t="shared" si="44"/>
        <v>0.35</v>
      </c>
      <c r="H359" s="89">
        <f t="shared" si="45"/>
        <v>0.67199999999999993</v>
      </c>
      <c r="I359" s="89"/>
      <c r="J359" s="89"/>
      <c r="K359" s="157"/>
      <c r="L359" s="157"/>
      <c r="M359" s="158"/>
      <c r="O359" s="82">
        <f t="shared" si="41"/>
        <v>0</v>
      </c>
    </row>
    <row r="360" spans="1:15" s="5" customFormat="1" ht="16.149999999999999" customHeight="1" x14ac:dyDescent="0.2">
      <c r="A360" s="30"/>
      <c r="B360" s="36" t="s">
        <v>472</v>
      </c>
      <c r="C360" s="32"/>
      <c r="D360" s="32">
        <v>2</v>
      </c>
      <c r="E360" s="89">
        <f>2.4+0.1*2</f>
        <v>2.6</v>
      </c>
      <c r="F360" s="89">
        <v>0.1</v>
      </c>
      <c r="G360" s="89">
        <v>0.8</v>
      </c>
      <c r="H360" s="89">
        <f t="shared" si="45"/>
        <v>0.41600000000000004</v>
      </c>
      <c r="I360" s="89"/>
      <c r="J360" s="89"/>
      <c r="K360" s="157"/>
      <c r="L360" s="157"/>
      <c r="M360" s="158"/>
      <c r="O360" s="82">
        <f t="shared" si="41"/>
        <v>0</v>
      </c>
    </row>
    <row r="361" spans="1:15" s="5" customFormat="1" ht="16.149999999999999" customHeight="1" x14ac:dyDescent="0.2">
      <c r="A361" s="30"/>
      <c r="B361" s="36"/>
      <c r="C361" s="32"/>
      <c r="D361" s="32">
        <v>2</v>
      </c>
      <c r="E361" s="89">
        <f>3.4-0.1*2</f>
        <v>3.1999999999999997</v>
      </c>
      <c r="F361" s="89">
        <v>0.1</v>
      </c>
      <c r="G361" s="89">
        <v>0.8</v>
      </c>
      <c r="H361" s="89">
        <f t="shared" si="45"/>
        <v>0.51200000000000001</v>
      </c>
      <c r="I361" s="89"/>
      <c r="J361" s="89"/>
      <c r="K361" s="157"/>
      <c r="L361" s="157"/>
      <c r="M361" s="158"/>
      <c r="O361" s="82">
        <f t="shared" si="41"/>
        <v>0</v>
      </c>
    </row>
    <row r="362" spans="1:15" s="5" customFormat="1" ht="16.149999999999999" customHeight="1" x14ac:dyDescent="0.2">
      <c r="A362" s="30"/>
      <c r="B362" s="36"/>
      <c r="C362" s="32"/>
      <c r="D362" s="32"/>
      <c r="E362" s="89"/>
      <c r="F362" s="89"/>
      <c r="G362" s="89"/>
      <c r="H362" s="89">
        <f t="shared" si="45"/>
        <v>0</v>
      </c>
      <c r="I362" s="89">
        <f>SUM(H357:H361)</f>
        <v>3.2729999999999997</v>
      </c>
      <c r="J362" s="89"/>
      <c r="K362" s="157"/>
      <c r="L362" s="157"/>
      <c r="M362" s="158"/>
      <c r="O362" s="82">
        <f t="shared" si="41"/>
        <v>0</v>
      </c>
    </row>
    <row r="363" spans="1:15" ht="15.95" customHeight="1" x14ac:dyDescent="0.2">
      <c r="A363" s="30"/>
      <c r="B363" s="46"/>
      <c r="C363" s="41"/>
      <c r="D363" s="41"/>
      <c r="E363" s="90"/>
      <c r="F363" s="90"/>
      <c r="G363" s="90"/>
      <c r="H363" s="90"/>
      <c r="I363" s="90"/>
      <c r="J363" s="90"/>
      <c r="K363" s="157"/>
      <c r="L363" s="157"/>
      <c r="M363" s="158"/>
      <c r="O363" s="82">
        <f t="shared" si="41"/>
        <v>0</v>
      </c>
    </row>
    <row r="364" spans="1:15" ht="15.95" customHeight="1" x14ac:dyDescent="0.2">
      <c r="A364" s="30" t="s">
        <v>165</v>
      </c>
      <c r="B364" s="46" t="s">
        <v>264</v>
      </c>
      <c r="C364" s="41" t="s">
        <v>79</v>
      </c>
      <c r="D364" s="41"/>
      <c r="E364" s="90"/>
      <c r="F364" s="90"/>
      <c r="G364" s="90"/>
      <c r="H364" s="90"/>
      <c r="I364" s="90"/>
      <c r="J364" s="90">
        <f>+J301*140</f>
        <v>18663.995000000006</v>
      </c>
      <c r="K364" s="164">
        <f>+K301*140</f>
        <v>19600</v>
      </c>
      <c r="L364" s="157">
        <v>11</v>
      </c>
      <c r="M364" s="158">
        <f t="shared" si="36"/>
        <v>215600</v>
      </c>
      <c r="O364" s="82">
        <f t="shared" si="41"/>
        <v>936.00499999999374</v>
      </c>
    </row>
    <row r="365" spans="1:15" ht="15.95" customHeight="1" x14ac:dyDescent="0.2">
      <c r="A365" s="30" t="s">
        <v>166</v>
      </c>
      <c r="B365" s="46" t="s">
        <v>539</v>
      </c>
      <c r="C365" s="41" t="s">
        <v>4</v>
      </c>
      <c r="D365" s="41"/>
      <c r="E365" s="90"/>
      <c r="F365" s="90"/>
      <c r="G365" s="90"/>
      <c r="H365" s="90"/>
      <c r="I365" s="90"/>
      <c r="J365" s="90">
        <f>SUM(I368:I399)</f>
        <v>1033.2050000000002</v>
      </c>
      <c r="K365" s="160">
        <v>1036</v>
      </c>
      <c r="L365" s="157">
        <v>220</v>
      </c>
      <c r="M365" s="158">
        <f>+L365*K365</f>
        <v>227920</v>
      </c>
      <c r="O365" s="82">
        <f t="shared" si="41"/>
        <v>2.7949999999998454</v>
      </c>
    </row>
    <row r="366" spans="1:15" s="5" customFormat="1" ht="16.149999999999999" customHeight="1" x14ac:dyDescent="0.2">
      <c r="A366" s="30"/>
      <c r="B366" s="98" t="s">
        <v>464</v>
      </c>
      <c r="C366" s="32"/>
      <c r="D366" s="32"/>
      <c r="E366" s="89"/>
      <c r="F366" s="89"/>
      <c r="G366" s="89"/>
      <c r="H366" s="89"/>
      <c r="I366" s="89"/>
      <c r="K366" s="157"/>
      <c r="L366" s="157"/>
      <c r="M366" s="158"/>
      <c r="O366" s="82">
        <f t="shared" si="41"/>
        <v>0</v>
      </c>
    </row>
    <row r="367" spans="1:15" s="5" customFormat="1" ht="16.149999999999999" customHeight="1" x14ac:dyDescent="0.2">
      <c r="A367" s="30"/>
      <c r="B367" s="105" t="s">
        <v>474</v>
      </c>
      <c r="C367" s="32"/>
      <c r="D367" s="32"/>
      <c r="E367" s="89"/>
      <c r="F367" s="89"/>
      <c r="G367" s="89"/>
      <c r="H367" s="89"/>
      <c r="I367" s="89"/>
      <c r="K367" s="157"/>
      <c r="L367" s="157"/>
      <c r="M367" s="158"/>
      <c r="O367" s="82">
        <f t="shared" si="41"/>
        <v>0</v>
      </c>
    </row>
    <row r="368" spans="1:15" ht="15.95" customHeight="1" x14ac:dyDescent="0.2">
      <c r="A368" s="30"/>
      <c r="B368" s="46"/>
      <c r="C368" s="41"/>
      <c r="D368" s="41">
        <v>1</v>
      </c>
      <c r="E368" s="90">
        <f>8.83-0.2</f>
        <v>8.6300000000000008</v>
      </c>
      <c r="F368" s="90">
        <f>43.7-9*0.2</f>
        <v>41.900000000000006</v>
      </c>
      <c r="G368" s="90"/>
      <c r="H368" s="89">
        <f t="shared" ref="H368:H419" si="46">PRODUCT(D368:G368)</f>
        <v>361.59700000000009</v>
      </c>
      <c r="I368" s="90"/>
      <c r="J368" s="90"/>
      <c r="K368" s="157"/>
      <c r="L368" s="157"/>
      <c r="M368" s="158"/>
      <c r="O368" s="82">
        <f t="shared" si="41"/>
        <v>0</v>
      </c>
    </row>
    <row r="369" spans="1:15" ht="15.95" customHeight="1" x14ac:dyDescent="0.2">
      <c r="A369" s="30"/>
      <c r="B369" s="46"/>
      <c r="C369" s="41"/>
      <c r="D369" s="41">
        <v>1</v>
      </c>
      <c r="E369" s="90">
        <f>2.2-0.2</f>
        <v>2</v>
      </c>
      <c r="F369" s="90">
        <f>43.7-9*0.2</f>
        <v>41.900000000000006</v>
      </c>
      <c r="G369" s="90"/>
      <c r="H369" s="89">
        <f t="shared" ref="H369" si="47">PRODUCT(D369:G369)</f>
        <v>83.800000000000011</v>
      </c>
      <c r="I369" s="90"/>
      <c r="J369" s="90"/>
      <c r="K369" s="157"/>
      <c r="L369" s="157"/>
      <c r="M369" s="158"/>
      <c r="O369" s="82">
        <f t="shared" si="41"/>
        <v>0</v>
      </c>
    </row>
    <row r="370" spans="1:15" ht="15.95" customHeight="1" x14ac:dyDescent="0.2">
      <c r="A370" s="30"/>
      <c r="B370" s="46"/>
      <c r="C370" s="41"/>
      <c r="D370" s="41"/>
      <c r="E370" s="90"/>
      <c r="F370" s="90"/>
      <c r="G370" s="90"/>
      <c r="H370" s="89"/>
      <c r="I370" s="90"/>
      <c r="J370" s="90"/>
      <c r="K370" s="157"/>
      <c r="L370" s="157"/>
      <c r="M370" s="158"/>
      <c r="O370" s="82">
        <f t="shared" si="41"/>
        <v>0</v>
      </c>
    </row>
    <row r="371" spans="1:15" ht="15.95" customHeight="1" x14ac:dyDescent="0.2">
      <c r="A371" s="30"/>
      <c r="B371" s="105" t="s">
        <v>475</v>
      </c>
      <c r="C371" s="41"/>
      <c r="D371" s="41"/>
      <c r="E371" s="90"/>
      <c r="F371" s="90"/>
      <c r="G371" s="90"/>
      <c r="H371" s="89">
        <f t="shared" si="46"/>
        <v>0</v>
      </c>
      <c r="I371" s="90"/>
      <c r="J371" s="90"/>
      <c r="K371" s="157"/>
      <c r="L371" s="157"/>
      <c r="M371" s="158"/>
      <c r="O371" s="82">
        <f t="shared" si="41"/>
        <v>0</v>
      </c>
    </row>
    <row r="372" spans="1:15" ht="15.95" customHeight="1" x14ac:dyDescent="0.2">
      <c r="A372" s="30"/>
      <c r="B372" s="46"/>
      <c r="C372" s="41"/>
      <c r="D372" s="41">
        <v>1</v>
      </c>
      <c r="E372" s="90">
        <f>8.83-0.2</f>
        <v>8.6300000000000008</v>
      </c>
      <c r="F372" s="90">
        <f>34.2-8*0.2</f>
        <v>32.6</v>
      </c>
      <c r="G372" s="90"/>
      <c r="H372" s="89">
        <f t="shared" ref="H372:H373" si="48">PRODUCT(D372:G372)</f>
        <v>281.33800000000002</v>
      </c>
      <c r="I372" s="90"/>
      <c r="J372" s="90"/>
      <c r="K372" s="157"/>
      <c r="L372" s="157"/>
      <c r="M372" s="158"/>
      <c r="O372" s="82">
        <f t="shared" si="41"/>
        <v>0</v>
      </c>
    </row>
    <row r="373" spans="1:15" ht="15.95" customHeight="1" x14ac:dyDescent="0.2">
      <c r="A373" s="30"/>
      <c r="B373" s="46"/>
      <c r="C373" s="41"/>
      <c r="D373" s="41">
        <v>1</v>
      </c>
      <c r="E373" s="90">
        <f>2.2-0.2</f>
        <v>2</v>
      </c>
      <c r="F373" s="90">
        <f>34.2-8*0.2</f>
        <v>32.6</v>
      </c>
      <c r="G373" s="90"/>
      <c r="H373" s="89">
        <f t="shared" si="48"/>
        <v>65.2</v>
      </c>
      <c r="I373" s="90"/>
      <c r="J373" s="90"/>
      <c r="K373" s="157"/>
      <c r="L373" s="157"/>
      <c r="M373" s="158"/>
      <c r="O373" s="82">
        <f t="shared" si="41"/>
        <v>0</v>
      </c>
    </row>
    <row r="374" spans="1:15" ht="15.95" customHeight="1" x14ac:dyDescent="0.2">
      <c r="A374" s="30"/>
      <c r="B374" s="46"/>
      <c r="C374" s="41"/>
      <c r="D374" s="41">
        <v>2</v>
      </c>
      <c r="E374" s="90">
        <f>3.95-0.2</f>
        <v>3.75</v>
      </c>
      <c r="F374" s="90">
        <f>3.6-0.2</f>
        <v>3.4</v>
      </c>
      <c r="G374" s="90"/>
      <c r="H374" s="89">
        <f t="shared" ref="H374" si="49">PRODUCT(D374:G374)</f>
        <v>25.5</v>
      </c>
      <c r="I374" s="90"/>
      <c r="J374" s="90"/>
      <c r="K374" s="157"/>
      <c r="L374" s="157"/>
      <c r="M374" s="158"/>
      <c r="O374" s="82">
        <f t="shared" si="41"/>
        <v>0</v>
      </c>
    </row>
    <row r="375" spans="1:15" ht="15.95" customHeight="1" x14ac:dyDescent="0.2">
      <c r="A375" s="30"/>
      <c r="B375" s="46"/>
      <c r="C375" s="41"/>
      <c r="D375" s="41"/>
      <c r="E375" s="90"/>
      <c r="F375" s="90"/>
      <c r="G375" s="90"/>
      <c r="H375" s="89">
        <f t="shared" si="46"/>
        <v>0</v>
      </c>
      <c r="I375" s="90">
        <f>SUM(H368:H373)</f>
        <v>791.93500000000017</v>
      </c>
      <c r="J375" s="90"/>
      <c r="K375" s="157"/>
      <c r="L375" s="157"/>
      <c r="M375" s="158"/>
      <c r="O375" s="82">
        <f t="shared" si="41"/>
        <v>0</v>
      </c>
    </row>
    <row r="376" spans="1:15" ht="15.95" customHeight="1" x14ac:dyDescent="0.2">
      <c r="A376" s="30"/>
      <c r="B376" s="46"/>
      <c r="C376" s="41"/>
      <c r="D376" s="41"/>
      <c r="E376" s="90"/>
      <c r="F376" s="90"/>
      <c r="G376" s="90"/>
      <c r="H376" s="89"/>
      <c r="I376" s="90"/>
      <c r="J376" s="90"/>
      <c r="K376" s="157"/>
      <c r="L376" s="157"/>
      <c r="M376" s="158"/>
      <c r="O376" s="82">
        <f t="shared" si="41"/>
        <v>0</v>
      </c>
    </row>
    <row r="377" spans="1:15" s="5" customFormat="1" ht="16.149999999999999" customHeight="1" x14ac:dyDescent="0.2">
      <c r="A377" s="30"/>
      <c r="B377" s="98" t="s">
        <v>465</v>
      </c>
      <c r="C377" s="32"/>
      <c r="D377" s="32"/>
      <c r="E377" s="89"/>
      <c r="F377" s="89"/>
      <c r="G377" s="89"/>
      <c r="H377" s="89">
        <f t="shared" si="46"/>
        <v>0</v>
      </c>
      <c r="I377" s="89"/>
      <c r="J377" s="89"/>
      <c r="K377" s="157"/>
      <c r="L377" s="157"/>
      <c r="M377" s="158"/>
      <c r="O377" s="82">
        <f t="shared" si="41"/>
        <v>0</v>
      </c>
    </row>
    <row r="378" spans="1:15" ht="15.95" customHeight="1" x14ac:dyDescent="0.2">
      <c r="A378" s="30"/>
      <c r="B378" s="46"/>
      <c r="C378" s="41"/>
      <c r="D378" s="41">
        <v>1</v>
      </c>
      <c r="E378" s="90">
        <f>4.4-0.2</f>
        <v>4.2</v>
      </c>
      <c r="F378" s="90">
        <f>2.7+3.6+0.1*2-0.2*3</f>
        <v>5.9</v>
      </c>
      <c r="G378" s="90"/>
      <c r="H378" s="89">
        <f t="shared" si="46"/>
        <v>24.78</v>
      </c>
      <c r="I378" s="90"/>
      <c r="J378" s="90"/>
      <c r="K378" s="157"/>
      <c r="L378" s="157"/>
      <c r="M378" s="158"/>
      <c r="O378" s="82">
        <f t="shared" si="41"/>
        <v>0</v>
      </c>
    </row>
    <row r="379" spans="1:15" ht="15.95" customHeight="1" x14ac:dyDescent="0.2">
      <c r="A379" s="30"/>
      <c r="B379" s="46"/>
      <c r="C379" s="41"/>
      <c r="D379" s="41">
        <f>1</f>
        <v>1</v>
      </c>
      <c r="E379" s="90">
        <f>4.4-0.2-0.4</f>
        <v>3.8000000000000003</v>
      </c>
      <c r="F379" s="90">
        <f>3-0.2</f>
        <v>2.8</v>
      </c>
      <c r="G379" s="90"/>
      <c r="H379" s="89">
        <f t="shared" si="46"/>
        <v>10.64</v>
      </c>
      <c r="I379" s="90"/>
      <c r="J379" s="90"/>
      <c r="K379" s="157"/>
      <c r="L379" s="157"/>
      <c r="M379" s="158"/>
      <c r="O379" s="82">
        <f t="shared" si="41"/>
        <v>0</v>
      </c>
    </row>
    <row r="380" spans="1:15" ht="15.95" customHeight="1" x14ac:dyDescent="0.2">
      <c r="A380" s="30"/>
      <c r="B380" s="46"/>
      <c r="C380" s="41"/>
      <c r="D380" s="41">
        <v>1</v>
      </c>
      <c r="E380" s="90">
        <f>5.5-0.2*2</f>
        <v>5.0999999999999996</v>
      </c>
      <c r="F380" s="90">
        <f>10.8-0.2*4</f>
        <v>10</v>
      </c>
      <c r="G380" s="90"/>
      <c r="H380" s="89">
        <f t="shared" si="46"/>
        <v>51</v>
      </c>
      <c r="I380" s="90"/>
      <c r="J380" s="90"/>
      <c r="K380" s="157"/>
      <c r="L380" s="157"/>
      <c r="M380" s="158"/>
      <c r="O380" s="82">
        <f t="shared" si="41"/>
        <v>0</v>
      </c>
    </row>
    <row r="381" spans="1:15" ht="15.95" customHeight="1" x14ac:dyDescent="0.2">
      <c r="A381" s="30"/>
      <c r="B381" s="46"/>
      <c r="C381" s="41"/>
      <c r="D381" s="41">
        <v>1</v>
      </c>
      <c r="E381" s="90">
        <f>2.6-0.2</f>
        <v>2.4</v>
      </c>
      <c r="F381" s="90">
        <f>7.5-0.2*2</f>
        <v>7.1</v>
      </c>
      <c r="G381" s="90"/>
      <c r="H381" s="89">
        <f t="shared" si="46"/>
        <v>17.04</v>
      </c>
      <c r="I381" s="90"/>
      <c r="J381" s="90"/>
      <c r="K381" s="157"/>
      <c r="L381" s="157"/>
      <c r="M381" s="158"/>
      <c r="O381" s="82">
        <f t="shared" si="41"/>
        <v>0</v>
      </c>
    </row>
    <row r="382" spans="1:15" ht="15.95" customHeight="1" x14ac:dyDescent="0.2">
      <c r="A382" s="30"/>
      <c r="B382" s="46"/>
      <c r="C382" s="41"/>
      <c r="D382" s="41"/>
      <c r="E382" s="90"/>
      <c r="F382" s="90"/>
      <c r="G382" s="90"/>
      <c r="H382" s="89">
        <f t="shared" si="46"/>
        <v>0</v>
      </c>
      <c r="I382" s="90">
        <f>SUM(H378:H381)</f>
        <v>103.46000000000001</v>
      </c>
      <c r="J382" s="90"/>
      <c r="K382" s="157"/>
      <c r="L382" s="157"/>
      <c r="M382" s="158"/>
      <c r="O382" s="82">
        <f t="shared" si="41"/>
        <v>0</v>
      </c>
    </row>
    <row r="383" spans="1:15" s="5" customFormat="1" ht="16.149999999999999" customHeight="1" x14ac:dyDescent="0.2">
      <c r="A383" s="30"/>
      <c r="B383" s="98" t="s">
        <v>530</v>
      </c>
      <c r="C383" s="32"/>
      <c r="D383" s="32"/>
      <c r="E383" s="89"/>
      <c r="F383" s="89"/>
      <c r="G383" s="89"/>
      <c r="H383" s="89">
        <f t="shared" ref="H383:H391" si="50">PRODUCT(D383:G383)</f>
        <v>0</v>
      </c>
      <c r="I383" s="89"/>
      <c r="J383" s="89"/>
      <c r="K383" s="157"/>
      <c r="L383" s="157"/>
      <c r="M383" s="158"/>
      <c r="O383" s="82">
        <f t="shared" si="41"/>
        <v>0</v>
      </c>
    </row>
    <row r="384" spans="1:15" ht="15.95" customHeight="1" x14ac:dyDescent="0.2">
      <c r="A384" s="30"/>
      <c r="B384" s="46"/>
      <c r="C384" s="41"/>
      <c r="D384" s="41">
        <v>1</v>
      </c>
      <c r="E384" s="90">
        <v>10.050000000000001</v>
      </c>
      <c r="F384" s="90">
        <v>1</v>
      </c>
      <c r="G384" s="90"/>
      <c r="H384" s="89">
        <f>PRODUCT(D384:G384)</f>
        <v>10.050000000000001</v>
      </c>
      <c r="I384" s="90"/>
      <c r="J384" s="90"/>
      <c r="K384" s="157"/>
      <c r="L384" s="157"/>
      <c r="M384" s="158"/>
      <c r="O384" s="82">
        <f t="shared" si="41"/>
        <v>0</v>
      </c>
    </row>
    <row r="385" spans="1:15" ht="15.95" customHeight="1" x14ac:dyDescent="0.2">
      <c r="A385" s="30"/>
      <c r="B385" s="46"/>
      <c r="C385" s="41"/>
      <c r="D385" s="41">
        <f>1</f>
        <v>1</v>
      </c>
      <c r="E385" s="90">
        <v>13.92</v>
      </c>
      <c r="F385" s="90">
        <v>1</v>
      </c>
      <c r="G385" s="90"/>
      <c r="H385" s="89">
        <f t="shared" ref="H385:H390" si="51">PRODUCT(D385:G385)</f>
        <v>13.92</v>
      </c>
      <c r="I385" s="90"/>
      <c r="J385" s="90"/>
      <c r="K385" s="157"/>
      <c r="L385" s="157"/>
      <c r="M385" s="158"/>
      <c r="O385" s="82">
        <f t="shared" si="41"/>
        <v>0</v>
      </c>
    </row>
    <row r="386" spans="1:15" ht="15.95" customHeight="1" x14ac:dyDescent="0.2">
      <c r="A386" s="30"/>
      <c r="B386" s="46"/>
      <c r="C386" s="41"/>
      <c r="D386" s="41">
        <v>1</v>
      </c>
      <c r="E386" s="90">
        <v>14</v>
      </c>
      <c r="F386" s="90">
        <v>1</v>
      </c>
      <c r="G386" s="90"/>
      <c r="H386" s="89">
        <f t="shared" si="51"/>
        <v>14</v>
      </c>
      <c r="I386" s="90"/>
      <c r="J386" s="90"/>
      <c r="K386" s="157"/>
      <c r="L386" s="157"/>
      <c r="M386" s="158"/>
      <c r="O386" s="82">
        <f t="shared" si="41"/>
        <v>0</v>
      </c>
    </row>
    <row r="387" spans="1:15" ht="15.95" customHeight="1" x14ac:dyDescent="0.2">
      <c r="A387" s="30"/>
      <c r="B387" s="46"/>
      <c r="C387" s="41"/>
      <c r="D387" s="41">
        <v>1</v>
      </c>
      <c r="E387" s="90">
        <v>18.399999999999999</v>
      </c>
      <c r="F387" s="90">
        <v>1</v>
      </c>
      <c r="G387" s="90"/>
      <c r="H387" s="89">
        <f t="shared" si="51"/>
        <v>18.399999999999999</v>
      </c>
      <c r="I387" s="90"/>
      <c r="J387" s="90"/>
      <c r="K387" s="157"/>
      <c r="L387" s="157"/>
      <c r="M387" s="158"/>
      <c r="O387" s="82">
        <f t="shared" si="41"/>
        <v>0</v>
      </c>
    </row>
    <row r="388" spans="1:15" ht="15.95" customHeight="1" x14ac:dyDescent="0.2">
      <c r="A388" s="30"/>
      <c r="B388" s="46"/>
      <c r="C388" s="41"/>
      <c r="D388" s="41">
        <v>1</v>
      </c>
      <c r="E388" s="90">
        <v>12.54</v>
      </c>
      <c r="F388" s="90">
        <v>1</v>
      </c>
      <c r="G388" s="90"/>
      <c r="H388" s="89">
        <f t="shared" si="51"/>
        <v>12.54</v>
      </c>
      <c r="I388" s="90"/>
      <c r="J388" s="90"/>
      <c r="K388" s="157"/>
      <c r="L388" s="157"/>
      <c r="M388" s="158"/>
      <c r="O388" s="82">
        <f t="shared" si="41"/>
        <v>0</v>
      </c>
    </row>
    <row r="389" spans="1:15" ht="15.95" customHeight="1" x14ac:dyDescent="0.2">
      <c r="A389" s="30"/>
      <c r="B389" s="46"/>
      <c r="C389" s="41"/>
      <c r="D389" s="41">
        <v>1</v>
      </c>
      <c r="E389" s="90">
        <v>4.43</v>
      </c>
      <c r="F389" s="90">
        <v>1</v>
      </c>
      <c r="G389" s="90"/>
      <c r="H389" s="89">
        <f t="shared" si="51"/>
        <v>4.43</v>
      </c>
      <c r="I389" s="90"/>
      <c r="J389" s="90"/>
      <c r="K389" s="157"/>
      <c r="L389" s="157"/>
      <c r="M389" s="158"/>
      <c r="O389" s="82">
        <f t="shared" si="41"/>
        <v>0</v>
      </c>
    </row>
    <row r="390" spans="1:15" ht="15.95" customHeight="1" x14ac:dyDescent="0.2">
      <c r="A390" s="30"/>
      <c r="B390" s="46"/>
      <c r="C390" s="41"/>
      <c r="D390" s="41">
        <v>1</v>
      </c>
      <c r="E390" s="90">
        <v>4.01</v>
      </c>
      <c r="F390" s="90">
        <v>1</v>
      </c>
      <c r="G390" s="90"/>
      <c r="H390" s="89">
        <f t="shared" si="51"/>
        <v>4.01</v>
      </c>
      <c r="I390" s="90"/>
      <c r="J390" s="90"/>
      <c r="K390" s="157"/>
      <c r="L390" s="157"/>
      <c r="M390" s="158"/>
      <c r="O390" s="82">
        <f t="shared" ref="O390:O453" si="52">K390-J390</f>
        <v>0</v>
      </c>
    </row>
    <row r="391" spans="1:15" ht="15.95" customHeight="1" x14ac:dyDescent="0.2">
      <c r="A391" s="30"/>
      <c r="B391" s="46"/>
      <c r="C391" s="41"/>
      <c r="D391" s="41"/>
      <c r="E391" s="90"/>
      <c r="F391" s="90"/>
      <c r="G391" s="90"/>
      <c r="H391" s="89">
        <f t="shared" si="50"/>
        <v>0</v>
      </c>
      <c r="I391" s="90">
        <f>SUM(H384:H387)</f>
        <v>56.37</v>
      </c>
      <c r="J391" s="90"/>
      <c r="K391" s="157"/>
      <c r="L391" s="157"/>
      <c r="M391" s="158"/>
      <c r="O391" s="82">
        <f t="shared" si="52"/>
        <v>0</v>
      </c>
    </row>
    <row r="392" spans="1:15" ht="15.95" customHeight="1" x14ac:dyDescent="0.2">
      <c r="A392" s="30"/>
      <c r="B392" s="46"/>
      <c r="C392" s="41"/>
      <c r="D392" s="41"/>
      <c r="E392" s="90"/>
      <c r="F392" s="90"/>
      <c r="G392" s="90"/>
      <c r="H392" s="89"/>
      <c r="I392" s="90"/>
      <c r="J392" s="90"/>
      <c r="K392" s="157"/>
      <c r="L392" s="157"/>
      <c r="M392" s="158"/>
      <c r="O392" s="82">
        <f t="shared" si="52"/>
        <v>0</v>
      </c>
    </row>
    <row r="393" spans="1:15" ht="15.95" customHeight="1" x14ac:dyDescent="0.2">
      <c r="A393" s="30"/>
      <c r="B393" s="46"/>
      <c r="C393" s="41"/>
      <c r="D393" s="41"/>
      <c r="E393" s="90"/>
      <c r="F393" s="90"/>
      <c r="G393" s="90"/>
      <c r="H393" s="89"/>
      <c r="I393" s="90"/>
      <c r="J393" s="90"/>
      <c r="K393" s="157"/>
      <c r="L393" s="157"/>
      <c r="M393" s="158"/>
      <c r="O393" s="82">
        <f t="shared" si="52"/>
        <v>0</v>
      </c>
    </row>
    <row r="394" spans="1:15" s="5" customFormat="1" ht="16.149999999999999" customHeight="1" x14ac:dyDescent="0.2">
      <c r="A394" s="30"/>
      <c r="B394" s="98" t="s">
        <v>466</v>
      </c>
      <c r="C394" s="32"/>
      <c r="D394" s="32"/>
      <c r="E394" s="89"/>
      <c r="F394" s="89"/>
      <c r="G394" s="89"/>
      <c r="H394" s="89">
        <f t="shared" si="46"/>
        <v>0</v>
      </c>
      <c r="I394" s="89"/>
      <c r="J394" s="89"/>
      <c r="K394" s="157"/>
      <c r="L394" s="157"/>
      <c r="M394" s="158"/>
      <c r="O394" s="82">
        <f t="shared" si="52"/>
        <v>0</v>
      </c>
    </row>
    <row r="395" spans="1:15" ht="15.95" customHeight="1" x14ac:dyDescent="0.2">
      <c r="A395" s="30"/>
      <c r="B395" s="46"/>
      <c r="C395" s="41"/>
      <c r="D395" s="41">
        <v>1</v>
      </c>
      <c r="E395" s="90">
        <f>8.8-0.2*3</f>
        <v>8.2000000000000011</v>
      </c>
      <c r="F395" s="90">
        <f>9.8-0.2*3</f>
        <v>9.2000000000000011</v>
      </c>
      <c r="G395" s="90"/>
      <c r="H395" s="89">
        <f t="shared" si="46"/>
        <v>75.440000000000012</v>
      </c>
      <c r="I395" s="90"/>
      <c r="J395" s="90"/>
      <c r="K395" s="157"/>
      <c r="L395" s="157"/>
      <c r="M395" s="158"/>
      <c r="O395" s="82">
        <f t="shared" si="52"/>
        <v>0</v>
      </c>
    </row>
    <row r="396" spans="1:15" ht="15.95" customHeight="1" x14ac:dyDescent="0.2">
      <c r="A396" s="30"/>
      <c r="B396" s="46"/>
      <c r="C396" s="41"/>
      <c r="D396" s="41"/>
      <c r="E396" s="90"/>
      <c r="F396" s="90"/>
      <c r="G396" s="90"/>
      <c r="H396" s="89">
        <f t="shared" si="46"/>
        <v>0</v>
      </c>
      <c r="I396" s="90">
        <f>SUM(H394:H395)</f>
        <v>75.440000000000012</v>
      </c>
      <c r="J396" s="90"/>
      <c r="K396" s="157"/>
      <c r="L396" s="157"/>
      <c r="M396" s="158"/>
      <c r="O396" s="82">
        <f t="shared" si="52"/>
        <v>0</v>
      </c>
    </row>
    <row r="397" spans="1:15" s="5" customFormat="1" ht="16.149999999999999" customHeight="1" x14ac:dyDescent="0.2">
      <c r="A397" s="30"/>
      <c r="B397" s="98" t="s">
        <v>467</v>
      </c>
      <c r="C397" s="32"/>
      <c r="D397" s="32"/>
      <c r="E397" s="89"/>
      <c r="F397" s="89"/>
      <c r="G397" s="89"/>
      <c r="H397" s="89">
        <f t="shared" si="46"/>
        <v>0</v>
      </c>
      <c r="I397" s="89"/>
      <c r="J397" s="89"/>
      <c r="K397" s="157"/>
      <c r="L397" s="157"/>
      <c r="M397" s="158"/>
      <c r="O397" s="82">
        <f t="shared" si="52"/>
        <v>0</v>
      </c>
    </row>
    <row r="398" spans="1:15" ht="15.95" customHeight="1" x14ac:dyDescent="0.2">
      <c r="A398" s="30"/>
      <c r="B398" s="46"/>
      <c r="C398" s="41"/>
      <c r="D398" s="41">
        <v>1</v>
      </c>
      <c r="E398" s="90">
        <f>2.4-0.2*2</f>
        <v>2</v>
      </c>
      <c r="F398" s="90">
        <f>3.4-0.2*2</f>
        <v>3</v>
      </c>
      <c r="G398" s="90"/>
      <c r="H398" s="89">
        <f t="shared" si="46"/>
        <v>6</v>
      </c>
      <c r="I398" s="90"/>
      <c r="J398" s="90"/>
      <c r="K398" s="157"/>
      <c r="L398" s="157"/>
      <c r="M398" s="158"/>
      <c r="O398" s="82">
        <f t="shared" si="52"/>
        <v>0</v>
      </c>
    </row>
    <row r="399" spans="1:15" ht="15.95" customHeight="1" x14ac:dyDescent="0.2">
      <c r="A399" s="30"/>
      <c r="B399" s="46"/>
      <c r="C399" s="41"/>
      <c r="D399" s="41"/>
      <c r="E399" s="90"/>
      <c r="F399" s="90"/>
      <c r="G399" s="90"/>
      <c r="H399" s="89">
        <f t="shared" si="46"/>
        <v>0</v>
      </c>
      <c r="I399" s="90">
        <f>SUM(H398)</f>
        <v>6</v>
      </c>
      <c r="J399" s="90"/>
      <c r="K399" s="157"/>
      <c r="L399" s="157"/>
      <c r="M399" s="158"/>
      <c r="O399" s="82">
        <f t="shared" si="52"/>
        <v>0</v>
      </c>
    </row>
    <row r="400" spans="1:15" ht="15.95" customHeight="1" x14ac:dyDescent="0.2">
      <c r="A400" s="30"/>
      <c r="B400" s="46"/>
      <c r="C400" s="41"/>
      <c r="D400" s="41"/>
      <c r="E400" s="90"/>
      <c r="F400" s="90"/>
      <c r="G400" s="90"/>
      <c r="H400" s="89">
        <f t="shared" si="46"/>
        <v>0</v>
      </c>
      <c r="I400" s="90"/>
      <c r="J400" s="90"/>
      <c r="K400" s="157"/>
      <c r="L400" s="157"/>
      <c r="M400" s="158"/>
      <c r="O400" s="82">
        <f t="shared" si="52"/>
        <v>0</v>
      </c>
    </row>
    <row r="401" spans="1:15" ht="15.95" customHeight="1" x14ac:dyDescent="0.2">
      <c r="A401" s="30" t="s">
        <v>167</v>
      </c>
      <c r="B401" s="46" t="s">
        <v>7</v>
      </c>
      <c r="C401" s="41" t="s">
        <v>1</v>
      </c>
      <c r="D401" s="41">
        <v>1</v>
      </c>
      <c r="E401" s="90">
        <v>11.25</v>
      </c>
      <c r="F401" s="90"/>
      <c r="G401" s="90"/>
      <c r="H401" s="89">
        <f t="shared" si="46"/>
        <v>11.25</v>
      </c>
      <c r="I401" s="90">
        <f>H401</f>
        <v>11.25</v>
      </c>
      <c r="J401" s="90">
        <f>I401</f>
        <v>11.25</v>
      </c>
      <c r="K401" s="157">
        <v>12</v>
      </c>
      <c r="L401" s="157">
        <v>50</v>
      </c>
      <c r="M401" s="158">
        <f t="shared" si="36"/>
        <v>600</v>
      </c>
      <c r="O401" s="82">
        <f t="shared" si="52"/>
        <v>0.75</v>
      </c>
    </row>
    <row r="402" spans="1:15" ht="15.95" customHeight="1" x14ac:dyDescent="0.2">
      <c r="A402" s="30"/>
      <c r="B402" s="46"/>
      <c r="C402" s="41"/>
      <c r="D402" s="41"/>
      <c r="E402" s="90"/>
      <c r="F402" s="90"/>
      <c r="G402" s="90"/>
      <c r="H402" s="89"/>
      <c r="I402" s="90"/>
      <c r="J402" s="90"/>
      <c r="K402" s="163"/>
      <c r="L402" s="163"/>
      <c r="M402" s="158"/>
      <c r="O402" s="82">
        <f t="shared" si="52"/>
        <v>0</v>
      </c>
    </row>
    <row r="403" spans="1:15" ht="15.95" customHeight="1" x14ac:dyDescent="0.2">
      <c r="A403" s="30" t="s">
        <v>168</v>
      </c>
      <c r="B403" s="48" t="s">
        <v>265</v>
      </c>
      <c r="C403" s="41" t="s">
        <v>4</v>
      </c>
      <c r="D403" s="41"/>
      <c r="E403" s="90"/>
      <c r="F403" s="90"/>
      <c r="G403" s="90"/>
      <c r="H403" s="89">
        <f t="shared" si="46"/>
        <v>0</v>
      </c>
      <c r="I403" s="90"/>
      <c r="J403" s="90">
        <f>SUM(I407:I417)</f>
        <v>15.779999999999998</v>
      </c>
      <c r="K403" s="163">
        <v>16</v>
      </c>
      <c r="L403" s="163">
        <v>100</v>
      </c>
      <c r="M403" s="158">
        <f t="shared" si="36"/>
        <v>1600</v>
      </c>
      <c r="O403" s="82">
        <f t="shared" si="52"/>
        <v>0.22000000000000242</v>
      </c>
    </row>
    <row r="404" spans="1:15" s="5" customFormat="1" ht="16.149999999999999" customHeight="1" x14ac:dyDescent="0.2">
      <c r="A404" s="30"/>
      <c r="B404" s="98" t="s">
        <v>464</v>
      </c>
      <c r="C404" s="32"/>
      <c r="D404" s="32"/>
      <c r="E404" s="89"/>
      <c r="F404" s="89"/>
      <c r="G404" s="89"/>
      <c r="H404" s="89"/>
      <c r="I404" s="89">
        <f>SUM(H404:H404)</f>
        <v>0</v>
      </c>
      <c r="K404" s="157"/>
      <c r="L404" s="157"/>
      <c r="M404" s="158"/>
      <c r="O404" s="82">
        <f t="shared" si="52"/>
        <v>0</v>
      </c>
    </row>
    <row r="405" spans="1:15" s="5" customFormat="1" ht="16.149999999999999" customHeight="1" x14ac:dyDescent="0.2">
      <c r="A405" s="30"/>
      <c r="B405" s="105" t="s">
        <v>474</v>
      </c>
      <c r="C405" s="32"/>
      <c r="D405" s="32"/>
      <c r="E405" s="89"/>
      <c r="F405" s="89"/>
      <c r="G405" s="89"/>
      <c r="H405" s="89"/>
      <c r="I405" s="89"/>
      <c r="K405" s="157"/>
      <c r="L405" s="157"/>
      <c r="M405" s="158"/>
      <c r="O405" s="82">
        <f t="shared" si="52"/>
        <v>0</v>
      </c>
    </row>
    <row r="406" spans="1:15" ht="15.95" customHeight="1" x14ac:dyDescent="0.2">
      <c r="A406" s="30"/>
      <c r="B406" s="46" t="s">
        <v>477</v>
      </c>
      <c r="C406" s="41"/>
      <c r="D406" s="41">
        <v>4</v>
      </c>
      <c r="E406" s="90">
        <v>1.8</v>
      </c>
      <c r="F406" s="90">
        <v>0.6</v>
      </c>
      <c r="G406" s="90"/>
      <c r="H406" s="89">
        <f t="shared" ref="H406:H416" si="53">PRODUCT(D406:G406)</f>
        <v>4.32</v>
      </c>
      <c r="I406" s="90"/>
      <c r="J406" s="90"/>
      <c r="K406" s="157"/>
      <c r="L406" s="157"/>
      <c r="M406" s="158"/>
      <c r="O406" s="82">
        <f t="shared" si="52"/>
        <v>0</v>
      </c>
    </row>
    <row r="407" spans="1:15" ht="15.95" customHeight="1" x14ac:dyDescent="0.2">
      <c r="A407" s="30"/>
      <c r="B407" s="105" t="s">
        <v>475</v>
      </c>
      <c r="C407" s="41"/>
      <c r="D407" s="41"/>
      <c r="E407" s="90"/>
      <c r="F407" s="90"/>
      <c r="G407" s="90"/>
      <c r="H407" s="89">
        <f t="shared" si="53"/>
        <v>0</v>
      </c>
      <c r="I407" s="90"/>
      <c r="J407" s="90"/>
      <c r="K407" s="157"/>
      <c r="L407" s="157"/>
      <c r="M407" s="158"/>
      <c r="O407" s="82">
        <f t="shared" si="52"/>
        <v>0</v>
      </c>
    </row>
    <row r="408" spans="1:15" ht="15.95" customHeight="1" x14ac:dyDescent="0.2">
      <c r="A408" s="30"/>
      <c r="B408" s="46"/>
      <c r="C408" s="41"/>
      <c r="D408" s="41">
        <v>5</v>
      </c>
      <c r="E408" s="90">
        <v>1.8</v>
      </c>
      <c r="F408" s="90">
        <v>0.6</v>
      </c>
      <c r="G408" s="90"/>
      <c r="H408" s="89">
        <f t="shared" si="53"/>
        <v>5.3999999999999995</v>
      </c>
      <c r="I408" s="90"/>
      <c r="J408" s="90"/>
      <c r="K408" s="157"/>
      <c r="L408" s="157"/>
      <c r="M408" s="158"/>
      <c r="O408" s="82">
        <f t="shared" si="52"/>
        <v>0</v>
      </c>
    </row>
    <row r="409" spans="1:15" ht="15.95" customHeight="1" x14ac:dyDescent="0.2">
      <c r="A409" s="30"/>
      <c r="B409" s="46"/>
      <c r="C409" s="41"/>
      <c r="D409" s="41"/>
      <c r="E409" s="90"/>
      <c r="F409" s="90"/>
      <c r="G409" s="90"/>
      <c r="H409" s="89">
        <f t="shared" si="53"/>
        <v>0</v>
      </c>
      <c r="I409" s="90">
        <f>SUM(H406:H408)</f>
        <v>9.7199999999999989</v>
      </c>
      <c r="J409" s="90"/>
      <c r="K409" s="157"/>
      <c r="L409" s="157"/>
      <c r="M409" s="158"/>
      <c r="O409" s="82">
        <f t="shared" si="52"/>
        <v>0</v>
      </c>
    </row>
    <row r="410" spans="1:15" s="5" customFormat="1" ht="16.149999999999999" customHeight="1" x14ac:dyDescent="0.2">
      <c r="A410" s="30"/>
      <c r="B410" s="98" t="s">
        <v>465</v>
      </c>
      <c r="C410" s="32"/>
      <c r="D410" s="32"/>
      <c r="E410" s="89"/>
      <c r="F410" s="89"/>
      <c r="G410" s="89"/>
      <c r="H410" s="89">
        <f t="shared" si="53"/>
        <v>0</v>
      </c>
      <c r="I410" s="89"/>
      <c r="J410" s="89"/>
      <c r="K410" s="157"/>
      <c r="L410" s="157"/>
      <c r="M410" s="158"/>
      <c r="O410" s="82">
        <f t="shared" si="52"/>
        <v>0</v>
      </c>
    </row>
    <row r="411" spans="1:15" ht="15.95" customHeight="1" x14ac:dyDescent="0.2">
      <c r="A411" s="30"/>
      <c r="B411" s="46" t="s">
        <v>478</v>
      </c>
      <c r="C411" s="41"/>
      <c r="D411" s="41">
        <v>1</v>
      </c>
      <c r="E411" s="90">
        <v>3.1</v>
      </c>
      <c r="F411" s="90">
        <v>0.6</v>
      </c>
      <c r="G411" s="90"/>
      <c r="H411" s="89">
        <f t="shared" si="53"/>
        <v>1.8599999999999999</v>
      </c>
      <c r="I411" s="90"/>
      <c r="J411" s="90"/>
      <c r="K411" s="157"/>
      <c r="L411" s="157"/>
      <c r="M411" s="158"/>
      <c r="O411" s="82">
        <f t="shared" si="52"/>
        <v>0</v>
      </c>
    </row>
    <row r="412" spans="1:15" ht="15.95" customHeight="1" x14ac:dyDescent="0.2">
      <c r="A412" s="30"/>
      <c r="B412" s="46" t="s">
        <v>479</v>
      </c>
      <c r="C412" s="41"/>
      <c r="D412" s="41">
        <f>1</f>
        <v>1</v>
      </c>
      <c r="E412" s="90">
        <v>1.8</v>
      </c>
      <c r="F412" s="90">
        <v>0.6</v>
      </c>
      <c r="G412" s="90"/>
      <c r="H412" s="89">
        <f t="shared" si="53"/>
        <v>1.08</v>
      </c>
      <c r="I412" s="90"/>
      <c r="J412" s="90"/>
      <c r="K412" s="157"/>
      <c r="L412" s="157"/>
      <c r="M412" s="158"/>
      <c r="O412" s="82">
        <f t="shared" si="52"/>
        <v>0</v>
      </c>
    </row>
    <row r="413" spans="1:15" ht="15.95" customHeight="1" x14ac:dyDescent="0.2">
      <c r="A413" s="30"/>
      <c r="B413" s="46" t="s">
        <v>531</v>
      </c>
      <c r="C413" s="41"/>
      <c r="D413" s="32">
        <v>1</v>
      </c>
      <c r="E413" s="89">
        <v>1.3</v>
      </c>
      <c r="F413" s="89">
        <v>0.6</v>
      </c>
      <c r="G413" s="89"/>
      <c r="H413" s="89">
        <f t="shared" si="53"/>
        <v>0.78</v>
      </c>
      <c r="I413" s="90"/>
      <c r="J413" s="90"/>
      <c r="K413" s="157"/>
      <c r="L413" s="157"/>
      <c r="M413" s="158"/>
      <c r="O413" s="82">
        <f t="shared" si="52"/>
        <v>0</v>
      </c>
    </row>
    <row r="414" spans="1:15" ht="15.95" customHeight="1" x14ac:dyDescent="0.2">
      <c r="A414" s="30"/>
      <c r="B414" s="46"/>
      <c r="C414" s="41"/>
      <c r="D414" s="41"/>
      <c r="E414" s="90"/>
      <c r="F414" s="90"/>
      <c r="G414" s="90"/>
      <c r="H414" s="89">
        <f t="shared" si="53"/>
        <v>0</v>
      </c>
      <c r="I414" s="90">
        <f>SUM(H411:H413)</f>
        <v>3.7199999999999998</v>
      </c>
      <c r="J414" s="90"/>
      <c r="K414" s="157"/>
      <c r="L414" s="157"/>
      <c r="M414" s="158"/>
      <c r="O414" s="82">
        <f t="shared" si="52"/>
        <v>0</v>
      </c>
    </row>
    <row r="415" spans="1:15" s="5" customFormat="1" ht="16.149999999999999" customHeight="1" x14ac:dyDescent="0.2">
      <c r="A415" s="30"/>
      <c r="B415" s="98" t="s">
        <v>530</v>
      </c>
      <c r="C415" s="32"/>
      <c r="D415" s="32"/>
      <c r="E415" s="89"/>
      <c r="F415" s="89"/>
      <c r="G415" s="89"/>
      <c r="H415" s="89">
        <f t="shared" si="53"/>
        <v>0</v>
      </c>
      <c r="I415" s="89"/>
      <c r="J415" s="89"/>
      <c r="K415" s="157"/>
      <c r="L415" s="157"/>
      <c r="M415" s="158"/>
      <c r="O415" s="82">
        <f t="shared" si="52"/>
        <v>0</v>
      </c>
    </row>
    <row r="416" spans="1:15" s="5" customFormat="1" ht="16.149999999999999" customHeight="1" x14ac:dyDescent="0.2">
      <c r="A416" s="30"/>
      <c r="B416" s="36" t="s">
        <v>533</v>
      </c>
      <c r="C416" s="32"/>
      <c r="D416" s="32">
        <v>2</v>
      </c>
      <c r="E416" s="89">
        <v>1.95</v>
      </c>
      <c r="F416" s="89">
        <v>0.6</v>
      </c>
      <c r="G416" s="89"/>
      <c r="H416" s="89">
        <f t="shared" si="53"/>
        <v>2.34</v>
      </c>
      <c r="I416" s="89"/>
      <c r="J416" s="89"/>
      <c r="K416" s="157"/>
      <c r="L416" s="157"/>
      <c r="M416" s="158"/>
      <c r="O416" s="82">
        <f t="shared" si="52"/>
        <v>0</v>
      </c>
    </row>
    <row r="417" spans="1:15" s="5" customFormat="1" ht="16.149999999999999" customHeight="1" x14ac:dyDescent="0.2">
      <c r="A417" s="30"/>
      <c r="B417" s="36"/>
      <c r="C417" s="32"/>
      <c r="D417" s="32"/>
      <c r="E417" s="89"/>
      <c r="F417" s="89"/>
      <c r="G417" s="89"/>
      <c r="H417" s="89"/>
      <c r="I417" s="128">
        <f>SUM(H416:H417)</f>
        <v>2.34</v>
      </c>
      <c r="J417" s="89"/>
      <c r="K417" s="157"/>
      <c r="L417" s="157"/>
      <c r="M417" s="158"/>
      <c r="O417" s="82">
        <f t="shared" si="52"/>
        <v>0</v>
      </c>
    </row>
    <row r="418" spans="1:15" ht="15.95" customHeight="1" x14ac:dyDescent="0.2">
      <c r="A418" s="30"/>
      <c r="B418" s="107"/>
      <c r="C418" s="41"/>
      <c r="D418" s="41"/>
      <c r="E418" s="90"/>
      <c r="F418" s="90"/>
      <c r="G418" s="90"/>
      <c r="H418" s="89"/>
      <c r="I418" s="90"/>
      <c r="J418" s="90"/>
      <c r="K418" s="163"/>
      <c r="L418" s="163"/>
      <c r="M418" s="158"/>
      <c r="O418" s="82">
        <f t="shared" si="52"/>
        <v>0</v>
      </c>
    </row>
    <row r="419" spans="1:15" ht="15.95" customHeight="1" x14ac:dyDescent="0.2">
      <c r="A419" s="30" t="s">
        <v>169</v>
      </c>
      <c r="B419" s="46" t="s">
        <v>266</v>
      </c>
      <c r="C419" s="41" t="s">
        <v>1</v>
      </c>
      <c r="D419" s="41"/>
      <c r="E419" s="90"/>
      <c r="F419" s="90"/>
      <c r="G419" s="90"/>
      <c r="H419" s="89">
        <f t="shared" si="46"/>
        <v>0</v>
      </c>
      <c r="I419" s="90"/>
      <c r="J419" s="90">
        <f>SUM(I421:I434)</f>
        <v>56.7</v>
      </c>
      <c r="K419" s="163">
        <v>60</v>
      </c>
      <c r="L419" s="163">
        <v>60</v>
      </c>
      <c r="M419" s="158">
        <f t="shared" si="36"/>
        <v>3600</v>
      </c>
      <c r="O419" s="82">
        <f t="shared" si="52"/>
        <v>3.2999999999999972</v>
      </c>
    </row>
    <row r="420" spans="1:15" s="5" customFormat="1" ht="16.149999999999999" customHeight="1" x14ac:dyDescent="0.2">
      <c r="A420" s="30"/>
      <c r="B420" s="98" t="s">
        <v>464</v>
      </c>
      <c r="C420" s="32"/>
      <c r="D420" s="32"/>
      <c r="E420" s="89"/>
      <c r="F420" s="89"/>
      <c r="G420" s="89"/>
      <c r="H420" s="89"/>
      <c r="I420" s="89"/>
      <c r="K420" s="157"/>
      <c r="L420" s="157"/>
      <c r="M420" s="158"/>
      <c r="O420" s="82">
        <f t="shared" si="52"/>
        <v>0</v>
      </c>
    </row>
    <row r="421" spans="1:15" s="5" customFormat="1" ht="16.149999999999999" customHeight="1" x14ac:dyDescent="0.2">
      <c r="A421" s="30"/>
      <c r="B421" s="105" t="s">
        <v>474</v>
      </c>
      <c r="C421" s="32"/>
      <c r="D421" s="41">
        <f>5*4</f>
        <v>20</v>
      </c>
      <c r="E421" s="90">
        <v>0.9</v>
      </c>
      <c r="F421" s="90"/>
      <c r="G421" s="90"/>
      <c r="H421" s="89">
        <f t="shared" ref="H421:H434" si="54">PRODUCT(D421:G421)</f>
        <v>18</v>
      </c>
      <c r="I421" s="89"/>
      <c r="K421" s="157"/>
      <c r="L421" s="157"/>
      <c r="M421" s="158"/>
      <c r="O421" s="82">
        <f t="shared" si="52"/>
        <v>0</v>
      </c>
    </row>
    <row r="422" spans="1:15" ht="15.95" customHeight="1" x14ac:dyDescent="0.2">
      <c r="A422" s="30"/>
      <c r="B422" s="46"/>
      <c r="C422" s="41"/>
      <c r="D422" s="41"/>
      <c r="E422" s="90"/>
      <c r="F422" s="90"/>
      <c r="G422" s="90"/>
      <c r="H422" s="89">
        <f t="shared" si="54"/>
        <v>0</v>
      </c>
      <c r="I422" s="89"/>
      <c r="J422" s="90"/>
      <c r="K422" s="157"/>
      <c r="L422" s="157"/>
      <c r="M422" s="158"/>
      <c r="O422" s="82">
        <f t="shared" si="52"/>
        <v>0</v>
      </c>
    </row>
    <row r="423" spans="1:15" ht="15.95" customHeight="1" x14ac:dyDescent="0.2">
      <c r="A423" s="30"/>
      <c r="B423" s="105" t="s">
        <v>475</v>
      </c>
      <c r="C423" s="41"/>
      <c r="D423" s="41">
        <f>5*4</f>
        <v>20</v>
      </c>
      <c r="E423" s="90">
        <v>0.9</v>
      </c>
      <c r="F423" s="90"/>
      <c r="G423" s="90"/>
      <c r="H423" s="89">
        <f t="shared" si="54"/>
        <v>18</v>
      </c>
      <c r="I423" s="90"/>
      <c r="J423" s="90"/>
      <c r="K423" s="157"/>
      <c r="L423" s="157"/>
      <c r="M423" s="158"/>
      <c r="O423" s="82">
        <f t="shared" si="52"/>
        <v>0</v>
      </c>
    </row>
    <row r="424" spans="1:15" ht="15.95" customHeight="1" x14ac:dyDescent="0.2">
      <c r="A424" s="30"/>
      <c r="B424" s="46"/>
      <c r="C424" s="41"/>
      <c r="D424" s="41"/>
      <c r="E424" s="90"/>
      <c r="F424" s="90"/>
      <c r="G424" s="90"/>
      <c r="H424" s="89"/>
      <c r="I424" s="90">
        <f>SUM(H421:H424)</f>
        <v>36</v>
      </c>
      <c r="J424" s="90"/>
      <c r="K424" s="157"/>
      <c r="L424" s="157"/>
      <c r="M424" s="158"/>
      <c r="O424" s="82">
        <f t="shared" si="52"/>
        <v>0</v>
      </c>
    </row>
    <row r="425" spans="1:15" ht="15.95" customHeight="1" x14ac:dyDescent="0.2">
      <c r="A425" s="30"/>
      <c r="B425" s="46"/>
      <c r="C425" s="41"/>
      <c r="D425" s="32"/>
      <c r="E425" s="89"/>
      <c r="F425" s="89"/>
      <c r="G425" s="89"/>
      <c r="H425" s="89">
        <f t="shared" si="54"/>
        <v>0</v>
      </c>
      <c r="I425" s="89"/>
      <c r="J425" s="90"/>
      <c r="K425" s="157"/>
      <c r="L425" s="157"/>
      <c r="M425" s="158"/>
      <c r="O425" s="82">
        <f t="shared" si="52"/>
        <v>0</v>
      </c>
    </row>
    <row r="426" spans="1:15" s="5" customFormat="1" ht="16.149999999999999" customHeight="1" x14ac:dyDescent="0.2">
      <c r="A426" s="30"/>
      <c r="B426" s="98" t="s">
        <v>465</v>
      </c>
      <c r="C426" s="32"/>
      <c r="D426" s="41">
        <v>7</v>
      </c>
      <c r="E426" s="90">
        <v>0.9</v>
      </c>
      <c r="F426" s="90"/>
      <c r="G426" s="90"/>
      <c r="H426" s="89">
        <f t="shared" si="54"/>
        <v>6.3</v>
      </c>
      <c r="I426" s="90"/>
      <c r="J426" s="89"/>
      <c r="K426" s="157"/>
      <c r="L426" s="157"/>
      <c r="M426" s="158"/>
      <c r="O426" s="82">
        <f t="shared" si="52"/>
        <v>0</v>
      </c>
    </row>
    <row r="427" spans="1:15" ht="15.95" customHeight="1" x14ac:dyDescent="0.2">
      <c r="A427" s="30"/>
      <c r="B427" s="46"/>
      <c r="C427" s="41"/>
      <c r="D427" s="41">
        <v>2</v>
      </c>
      <c r="E427" s="90">
        <v>0.9</v>
      </c>
      <c r="F427" s="90"/>
      <c r="G427" s="90"/>
      <c r="H427" s="89">
        <f t="shared" si="54"/>
        <v>1.8</v>
      </c>
      <c r="I427" s="90"/>
      <c r="J427" s="90"/>
      <c r="K427" s="157"/>
      <c r="L427" s="157"/>
      <c r="M427" s="158"/>
      <c r="O427" s="82">
        <f t="shared" si="52"/>
        <v>0</v>
      </c>
    </row>
    <row r="428" spans="1:15" ht="15.95" customHeight="1" x14ac:dyDescent="0.2">
      <c r="A428" s="30"/>
      <c r="B428" s="46"/>
      <c r="C428" s="41"/>
      <c r="D428" s="41"/>
      <c r="E428" s="90"/>
      <c r="F428" s="90"/>
      <c r="G428" s="90"/>
      <c r="H428" s="89"/>
      <c r="I428" s="90">
        <f>SUM(H426:H427)</f>
        <v>8.1</v>
      </c>
      <c r="J428" s="90"/>
      <c r="K428" s="157"/>
      <c r="L428" s="157"/>
      <c r="M428" s="158"/>
      <c r="O428" s="82">
        <f t="shared" si="52"/>
        <v>0</v>
      </c>
    </row>
    <row r="429" spans="1:15" ht="15.95" customHeight="1" x14ac:dyDescent="0.2">
      <c r="A429" s="30"/>
      <c r="B429" s="46"/>
      <c r="C429" s="41"/>
      <c r="D429" s="32"/>
      <c r="E429" s="89"/>
      <c r="F429" s="89"/>
      <c r="G429" s="89"/>
      <c r="H429" s="89">
        <f t="shared" si="54"/>
        <v>0</v>
      </c>
      <c r="I429" s="89"/>
      <c r="J429" s="90"/>
      <c r="K429" s="157"/>
      <c r="L429" s="157"/>
      <c r="M429" s="158"/>
      <c r="O429" s="82">
        <f t="shared" si="52"/>
        <v>0</v>
      </c>
    </row>
    <row r="430" spans="1:15" s="5" customFormat="1" ht="16.149999999999999" customHeight="1" x14ac:dyDescent="0.2">
      <c r="A430" s="30"/>
      <c r="B430" s="98" t="s">
        <v>466</v>
      </c>
      <c r="C430" s="32"/>
      <c r="D430" s="41">
        <v>12</v>
      </c>
      <c r="E430" s="90">
        <v>0.9</v>
      </c>
      <c r="F430" s="90"/>
      <c r="G430" s="90"/>
      <c r="H430" s="89">
        <f t="shared" si="54"/>
        <v>10.8</v>
      </c>
      <c r="I430" s="90"/>
      <c r="J430" s="89"/>
      <c r="K430" s="157"/>
      <c r="L430" s="157"/>
      <c r="M430" s="158"/>
      <c r="O430" s="82">
        <f t="shared" si="52"/>
        <v>0</v>
      </c>
    </row>
    <row r="431" spans="1:15" ht="15.95" customHeight="1" x14ac:dyDescent="0.2">
      <c r="A431" s="30"/>
      <c r="B431" s="46"/>
      <c r="C431" s="41"/>
      <c r="D431" s="41"/>
      <c r="E431" s="90"/>
      <c r="F431" s="90"/>
      <c r="G431" s="90"/>
      <c r="H431" s="89"/>
      <c r="I431" s="90">
        <f>SUM(H430:H431)</f>
        <v>10.8</v>
      </c>
      <c r="J431" s="90"/>
      <c r="K431" s="157"/>
      <c r="L431" s="157"/>
      <c r="M431" s="158"/>
      <c r="O431" s="82">
        <f t="shared" si="52"/>
        <v>0</v>
      </c>
    </row>
    <row r="432" spans="1:15" ht="15.95" customHeight="1" x14ac:dyDescent="0.2">
      <c r="A432" s="30"/>
      <c r="B432" s="46"/>
      <c r="C432" s="41"/>
      <c r="D432" s="32"/>
      <c r="E432" s="89"/>
      <c r="F432" s="89"/>
      <c r="G432" s="89"/>
      <c r="H432" s="89">
        <f t="shared" si="54"/>
        <v>0</v>
      </c>
      <c r="I432" s="89"/>
      <c r="J432" s="90"/>
      <c r="K432" s="157"/>
      <c r="L432" s="157"/>
      <c r="M432" s="158"/>
      <c r="O432" s="82">
        <f t="shared" si="52"/>
        <v>0</v>
      </c>
    </row>
    <row r="433" spans="1:15" s="5" customFormat="1" ht="16.149999999999999" customHeight="1" x14ac:dyDescent="0.2">
      <c r="A433" s="30"/>
      <c r="B433" s="98" t="s">
        <v>467</v>
      </c>
      <c r="C433" s="32"/>
      <c r="D433" s="41">
        <v>2</v>
      </c>
      <c r="E433" s="90">
        <v>0.9</v>
      </c>
      <c r="F433" s="90"/>
      <c r="G433" s="90"/>
      <c r="H433" s="89">
        <f t="shared" si="54"/>
        <v>1.8</v>
      </c>
      <c r="I433" s="90"/>
      <c r="J433" s="89"/>
      <c r="K433" s="157"/>
      <c r="L433" s="157"/>
      <c r="M433" s="158"/>
      <c r="O433" s="82">
        <f t="shared" si="52"/>
        <v>0</v>
      </c>
    </row>
    <row r="434" spans="1:15" ht="15.95" customHeight="1" x14ac:dyDescent="0.2">
      <c r="A434" s="30"/>
      <c r="B434" s="46"/>
      <c r="C434" s="41"/>
      <c r="D434" s="41"/>
      <c r="E434" s="90"/>
      <c r="F434" s="90"/>
      <c r="G434" s="90"/>
      <c r="H434" s="89">
        <f t="shared" si="54"/>
        <v>0</v>
      </c>
      <c r="I434" s="90">
        <f>SUM(H433:H434)</f>
        <v>1.8</v>
      </c>
      <c r="J434" s="90"/>
      <c r="K434" s="157"/>
      <c r="L434" s="157"/>
      <c r="M434" s="158"/>
      <c r="O434" s="82">
        <f t="shared" si="52"/>
        <v>0</v>
      </c>
    </row>
    <row r="435" spans="1:15" ht="15.95" customHeight="1" x14ac:dyDescent="0.2">
      <c r="A435" s="30"/>
      <c r="B435" s="46"/>
      <c r="C435" s="41"/>
      <c r="D435" s="41"/>
      <c r="E435" s="90"/>
      <c r="F435" s="90"/>
      <c r="G435" s="90"/>
      <c r="H435" s="89"/>
      <c r="I435" s="90"/>
      <c r="J435" s="90"/>
      <c r="K435" s="157"/>
      <c r="L435" s="157"/>
      <c r="M435" s="158"/>
      <c r="O435" s="82">
        <f t="shared" si="52"/>
        <v>0</v>
      </c>
    </row>
    <row r="436" spans="1:15" ht="18" customHeight="1" x14ac:dyDescent="0.2">
      <c r="A436" s="250" t="s">
        <v>101</v>
      </c>
      <c r="B436" s="251"/>
      <c r="C436" s="251"/>
      <c r="D436" s="251"/>
      <c r="E436" s="251"/>
      <c r="F436" s="251"/>
      <c r="G436" s="251"/>
      <c r="H436" s="251"/>
      <c r="I436" s="251"/>
      <c r="J436" s="251"/>
      <c r="K436" s="251"/>
      <c r="L436" s="252"/>
      <c r="M436" s="159">
        <f>SUM(M300:M419)</f>
        <v>589320</v>
      </c>
      <c r="O436" s="82">
        <f t="shared" si="52"/>
        <v>0</v>
      </c>
    </row>
    <row r="437" spans="1:15" ht="18" customHeight="1" x14ac:dyDescent="0.2">
      <c r="A437" s="24"/>
      <c r="B437" s="25" t="s">
        <v>170</v>
      </c>
      <c r="C437" s="26"/>
      <c r="D437" s="26"/>
      <c r="E437" s="88"/>
      <c r="F437" s="88"/>
      <c r="G437" s="88"/>
      <c r="H437" s="88"/>
      <c r="I437" s="88"/>
      <c r="J437" s="88"/>
      <c r="K437" s="155"/>
      <c r="L437" s="155"/>
      <c r="M437" s="158"/>
      <c r="O437" s="82">
        <f t="shared" si="52"/>
        <v>0</v>
      </c>
    </row>
    <row r="438" spans="1:15" ht="15.95" customHeight="1" x14ac:dyDescent="0.2">
      <c r="A438" s="40" t="s">
        <v>336</v>
      </c>
      <c r="B438" s="46" t="s">
        <v>304</v>
      </c>
      <c r="C438" s="41" t="s">
        <v>4</v>
      </c>
      <c r="D438" s="41"/>
      <c r="E438" s="90"/>
      <c r="F438" s="90"/>
      <c r="G438" s="90"/>
      <c r="H438" s="90"/>
      <c r="I438" s="90"/>
      <c r="J438" s="90">
        <f>SUM(I440:I549)</f>
        <v>1339.6370000000002</v>
      </c>
      <c r="K438" s="163">
        <v>1340</v>
      </c>
      <c r="L438" s="163">
        <v>100</v>
      </c>
      <c r="M438" s="158">
        <f t="shared" ref="M438:M584" si="55">+L438*K438</f>
        <v>134000</v>
      </c>
      <c r="O438" s="82">
        <f t="shared" si="52"/>
        <v>0.36299999999982901</v>
      </c>
    </row>
    <row r="439" spans="1:15" s="5" customFormat="1" ht="16.149999999999999" customHeight="1" x14ac:dyDescent="0.2">
      <c r="A439" s="30"/>
      <c r="B439" s="98" t="s">
        <v>464</v>
      </c>
      <c r="C439" s="32"/>
      <c r="D439" s="32"/>
      <c r="E439" s="89"/>
      <c r="F439" s="89"/>
      <c r="G439" s="89"/>
      <c r="H439" s="89"/>
      <c r="I439" s="89"/>
      <c r="K439" s="157"/>
      <c r="L439" s="157"/>
      <c r="M439" s="158"/>
      <c r="O439" s="82">
        <f t="shared" si="52"/>
        <v>0</v>
      </c>
    </row>
    <row r="440" spans="1:15" s="5" customFormat="1" ht="16.149999999999999" customHeight="1" x14ac:dyDescent="0.2">
      <c r="A440" s="30"/>
      <c r="B440" s="105" t="s">
        <v>474</v>
      </c>
      <c r="C440" s="32"/>
      <c r="D440" s="32"/>
      <c r="E440" s="89"/>
      <c r="F440" s="89"/>
      <c r="G440" s="89"/>
      <c r="I440" s="89"/>
      <c r="K440" s="157"/>
      <c r="L440" s="157"/>
      <c r="M440" s="158"/>
      <c r="O440" s="82">
        <f t="shared" si="52"/>
        <v>0</v>
      </c>
    </row>
    <row r="441" spans="1:15" s="5" customFormat="1" ht="16.149999999999999" customHeight="1" x14ac:dyDescent="0.2">
      <c r="A441" s="30"/>
      <c r="B441" s="44" t="s">
        <v>482</v>
      </c>
      <c r="C441" s="41"/>
      <c r="D441" s="41">
        <v>2</v>
      </c>
      <c r="E441" s="109">
        <f>34.2-0.3*6</f>
        <v>32.400000000000006</v>
      </c>
      <c r="F441" s="109"/>
      <c r="G441" s="109">
        <f>3+0.1+0.25-0.45</f>
        <v>2.9</v>
      </c>
      <c r="H441" s="89">
        <f>PRODUCT(D441:G441)</f>
        <v>187.92000000000002</v>
      </c>
      <c r="I441" s="89"/>
      <c r="K441" s="157"/>
      <c r="L441" s="157"/>
      <c r="M441" s="158"/>
      <c r="O441" s="82">
        <f t="shared" si="52"/>
        <v>0</v>
      </c>
    </row>
    <row r="442" spans="1:15" s="5" customFormat="1" ht="16.149999999999999" customHeight="1" x14ac:dyDescent="0.2">
      <c r="A442" s="30"/>
      <c r="B442" s="44"/>
      <c r="C442" s="41"/>
      <c r="D442" s="41">
        <v>7</v>
      </c>
      <c r="E442" s="109">
        <v>8.43</v>
      </c>
      <c r="F442" s="109"/>
      <c r="G442" s="109">
        <f>3+0.1+0.25-0.45</f>
        <v>2.9</v>
      </c>
      <c r="H442" s="89">
        <f t="shared" ref="H442:H447" si="56">PRODUCT(D442:G442)</f>
        <v>171.12899999999999</v>
      </c>
      <c r="I442" s="89"/>
      <c r="K442" s="157"/>
      <c r="L442" s="157"/>
      <c r="M442" s="158"/>
      <c r="O442" s="82">
        <f t="shared" si="52"/>
        <v>0</v>
      </c>
    </row>
    <row r="443" spans="1:15" s="5" customFormat="1" ht="16.149999999999999" customHeight="1" x14ac:dyDescent="0.2">
      <c r="A443" s="30"/>
      <c r="B443" s="44" t="s">
        <v>483</v>
      </c>
      <c r="C443" s="41"/>
      <c r="D443" s="41">
        <v>4</v>
      </c>
      <c r="E443" s="109">
        <v>4.1500000000000004</v>
      </c>
      <c r="F443" s="109"/>
      <c r="G443" s="109">
        <f t="shared" ref="G443:G444" si="57">3+0.1+0.25-0.45</f>
        <v>2.9</v>
      </c>
      <c r="H443" s="89">
        <f t="shared" si="56"/>
        <v>48.14</v>
      </c>
      <c r="I443" s="89"/>
      <c r="K443" s="157"/>
      <c r="L443" s="157"/>
      <c r="M443" s="158"/>
      <c r="O443" s="82">
        <f t="shared" si="52"/>
        <v>0</v>
      </c>
    </row>
    <row r="444" spans="1:15" s="5" customFormat="1" ht="16.149999999999999" customHeight="1" x14ac:dyDescent="0.2">
      <c r="A444" s="30"/>
      <c r="B444" s="44"/>
      <c r="C444" s="41"/>
      <c r="D444" s="41">
        <v>2</v>
      </c>
      <c r="E444" s="109">
        <v>3.4</v>
      </c>
      <c r="F444" s="109"/>
      <c r="G444" s="109">
        <f t="shared" si="57"/>
        <v>2.9</v>
      </c>
      <c r="H444" s="89">
        <f t="shared" si="56"/>
        <v>19.72</v>
      </c>
      <c r="I444" s="89"/>
      <c r="K444" s="157"/>
      <c r="L444" s="157"/>
      <c r="M444" s="158"/>
      <c r="O444" s="82">
        <f t="shared" si="52"/>
        <v>0</v>
      </c>
    </row>
    <row r="445" spans="1:15" s="5" customFormat="1" ht="16.149999999999999" customHeight="1" x14ac:dyDescent="0.2">
      <c r="A445" s="30"/>
      <c r="B445" s="110" t="s">
        <v>480</v>
      </c>
      <c r="C445" s="41"/>
      <c r="D445" s="41"/>
      <c r="E445" s="109"/>
      <c r="F445" s="109"/>
      <c r="G445" s="109"/>
      <c r="H445" s="89">
        <f t="shared" si="56"/>
        <v>0</v>
      </c>
      <c r="I445" s="89"/>
      <c r="K445" s="157"/>
      <c r="L445" s="157"/>
      <c r="M445" s="158"/>
      <c r="O445" s="82">
        <f t="shared" si="52"/>
        <v>0</v>
      </c>
    </row>
    <row r="446" spans="1:15" ht="15.95" customHeight="1" x14ac:dyDescent="0.2">
      <c r="A446" s="30"/>
      <c r="B446" s="41" t="s">
        <v>424</v>
      </c>
      <c r="C446" s="41"/>
      <c r="D446" s="41">
        <v>-20</v>
      </c>
      <c r="E446" s="90">
        <v>0.9</v>
      </c>
      <c r="F446" s="90"/>
      <c r="G446" s="90">
        <v>1.2</v>
      </c>
      <c r="H446" s="89">
        <f t="shared" si="56"/>
        <v>-21.599999999999998</v>
      </c>
      <c r="I446" s="89"/>
      <c r="J446" s="90"/>
      <c r="K446" s="157"/>
      <c r="L446" s="157"/>
      <c r="M446" s="158"/>
      <c r="O446" s="82">
        <f t="shared" si="52"/>
        <v>0</v>
      </c>
    </row>
    <row r="447" spans="1:15" ht="15.95" customHeight="1" x14ac:dyDescent="0.2">
      <c r="A447" s="30"/>
      <c r="B447" s="41" t="s">
        <v>481</v>
      </c>
      <c r="C447" s="41"/>
      <c r="D447" s="41">
        <v>-5</v>
      </c>
      <c r="E447" s="90">
        <v>1</v>
      </c>
      <c r="F447" s="90"/>
      <c r="G447" s="90">
        <v>2.4</v>
      </c>
      <c r="H447" s="89">
        <f t="shared" si="56"/>
        <v>-12</v>
      </c>
      <c r="I447" s="89"/>
      <c r="J447" s="108"/>
      <c r="K447" s="157"/>
      <c r="L447" s="157"/>
      <c r="M447" s="158"/>
      <c r="O447" s="82">
        <f t="shared" si="52"/>
        <v>0</v>
      </c>
    </row>
    <row r="448" spans="1:15" ht="15.95" customHeight="1" x14ac:dyDescent="0.2">
      <c r="A448" s="30"/>
      <c r="B448" s="46"/>
      <c r="C448" s="41"/>
      <c r="D448" s="41"/>
      <c r="E448" s="90"/>
      <c r="F448" s="90"/>
      <c r="G448" s="90"/>
      <c r="H448" s="89"/>
      <c r="I448" s="89"/>
      <c r="J448" s="108"/>
      <c r="K448" s="157"/>
      <c r="L448" s="157"/>
      <c r="M448" s="158"/>
      <c r="O448" s="82">
        <f t="shared" si="52"/>
        <v>0</v>
      </c>
    </row>
    <row r="449" spans="1:15" ht="15.95" customHeight="1" x14ac:dyDescent="0.2">
      <c r="A449" s="30"/>
      <c r="B449" s="105" t="s">
        <v>475</v>
      </c>
      <c r="C449" s="41"/>
      <c r="D449" s="41"/>
      <c r="E449" s="90"/>
      <c r="F449" s="90"/>
      <c r="G449" s="90"/>
      <c r="H449" s="89">
        <f t="shared" ref="H449:I460" si="58">PRODUCT(D449:G449)</f>
        <v>0</v>
      </c>
      <c r="I449" s="89">
        <f t="shared" si="58"/>
        <v>0</v>
      </c>
      <c r="J449" s="90"/>
      <c r="K449" s="157"/>
      <c r="L449" s="157"/>
      <c r="M449" s="158"/>
      <c r="O449" s="82">
        <f t="shared" si="52"/>
        <v>0</v>
      </c>
    </row>
    <row r="450" spans="1:15" s="5" customFormat="1" ht="16.149999999999999" customHeight="1" x14ac:dyDescent="0.2">
      <c r="A450" s="30"/>
      <c r="B450" s="44" t="s">
        <v>482</v>
      </c>
      <c r="C450" s="41"/>
      <c r="D450" s="41">
        <v>2</v>
      </c>
      <c r="E450" s="109">
        <f>34.2-0.3*6</f>
        <v>32.400000000000006</v>
      </c>
      <c r="F450" s="109"/>
      <c r="G450" s="109">
        <f>3+0.1+0.25-0.45</f>
        <v>2.9</v>
      </c>
      <c r="H450" s="89">
        <f>PRODUCT(D450:G450)</f>
        <v>187.92000000000002</v>
      </c>
      <c r="I450" s="89"/>
      <c r="K450" s="157"/>
      <c r="L450" s="157"/>
      <c r="M450" s="158"/>
      <c r="O450" s="82">
        <f t="shared" si="52"/>
        <v>0</v>
      </c>
    </row>
    <row r="451" spans="1:15" s="5" customFormat="1" ht="16.149999999999999" customHeight="1" x14ac:dyDescent="0.2">
      <c r="A451" s="30"/>
      <c r="B451" s="44"/>
      <c r="C451" s="41"/>
      <c r="D451" s="41">
        <v>7</v>
      </c>
      <c r="E451" s="109">
        <v>8.43</v>
      </c>
      <c r="F451" s="109"/>
      <c r="G451" s="109">
        <f>3+0.1+0.25-0.45</f>
        <v>2.9</v>
      </c>
      <c r="H451" s="89">
        <f t="shared" ref="H451:H453" si="59">PRODUCT(D451:G451)</f>
        <v>171.12899999999999</v>
      </c>
      <c r="I451" s="89"/>
      <c r="K451" s="157"/>
      <c r="L451" s="157"/>
      <c r="M451" s="158"/>
      <c r="O451" s="82">
        <f t="shared" si="52"/>
        <v>0</v>
      </c>
    </row>
    <row r="452" spans="1:15" s="5" customFormat="1" ht="16.149999999999999" customHeight="1" x14ac:dyDescent="0.2">
      <c r="A452" s="30"/>
      <c r="B452" s="44" t="s">
        <v>483</v>
      </c>
      <c r="C452" s="41"/>
      <c r="D452" s="41">
        <v>4</v>
      </c>
      <c r="E452" s="109">
        <v>4.1500000000000004</v>
      </c>
      <c r="F452" s="109"/>
      <c r="G452" s="109">
        <f t="shared" ref="G452:G453" si="60">3+0.1+0.25-0.45</f>
        <v>2.9</v>
      </c>
      <c r="H452" s="89">
        <f t="shared" si="59"/>
        <v>48.14</v>
      </c>
      <c r="I452" s="89"/>
      <c r="K452" s="157"/>
      <c r="L452" s="157"/>
      <c r="M452" s="158"/>
      <c r="O452" s="82">
        <f t="shared" si="52"/>
        <v>0</v>
      </c>
    </row>
    <row r="453" spans="1:15" s="5" customFormat="1" ht="16.149999999999999" customHeight="1" x14ac:dyDescent="0.2">
      <c r="A453" s="30"/>
      <c r="B453" s="44"/>
      <c r="C453" s="41"/>
      <c r="D453" s="41">
        <v>2</v>
      </c>
      <c r="E453" s="109">
        <v>3.4</v>
      </c>
      <c r="F453" s="109"/>
      <c r="G453" s="109">
        <f t="shared" si="60"/>
        <v>2.9</v>
      </c>
      <c r="H453" s="89">
        <f t="shared" si="59"/>
        <v>19.72</v>
      </c>
      <c r="I453" s="89"/>
      <c r="K453" s="157"/>
      <c r="L453" s="157"/>
      <c r="M453" s="158"/>
      <c r="O453" s="82">
        <f t="shared" si="52"/>
        <v>0</v>
      </c>
    </row>
    <row r="454" spans="1:15" s="5" customFormat="1" ht="16.149999999999999" customHeight="1" x14ac:dyDescent="0.2">
      <c r="A454" s="30"/>
      <c r="B454" s="44" t="s">
        <v>484</v>
      </c>
      <c r="C454" s="41"/>
      <c r="D454" s="41">
        <v>1</v>
      </c>
      <c r="E454" s="109">
        <f>34.2-0.25*7</f>
        <v>32.450000000000003</v>
      </c>
      <c r="F454" s="109"/>
      <c r="G454" s="109">
        <v>1.1000000000000001</v>
      </c>
      <c r="H454" s="89">
        <f t="shared" si="58"/>
        <v>35.695000000000007</v>
      </c>
      <c r="I454" s="89"/>
      <c r="K454" s="157"/>
      <c r="L454" s="157"/>
      <c r="M454" s="158"/>
      <c r="O454" s="82">
        <f t="shared" ref="O454:O517" si="61">K454-J454</f>
        <v>0</v>
      </c>
    </row>
    <row r="455" spans="1:15" s="5" customFormat="1" ht="16.149999999999999" customHeight="1" x14ac:dyDescent="0.2">
      <c r="A455" s="30"/>
      <c r="B455" s="44"/>
      <c r="C455" s="41"/>
      <c r="D455" s="41">
        <v>2</v>
      </c>
      <c r="E455" s="109">
        <v>2.2000000000000002</v>
      </c>
      <c r="F455" s="109"/>
      <c r="G455" s="109">
        <v>1.1000000000000001</v>
      </c>
      <c r="H455" s="89">
        <f t="shared" si="58"/>
        <v>4.8400000000000007</v>
      </c>
      <c r="I455" s="89"/>
      <c r="K455" s="157"/>
      <c r="L455" s="157"/>
      <c r="M455" s="158"/>
      <c r="O455" s="82">
        <f t="shared" si="61"/>
        <v>0</v>
      </c>
    </row>
    <row r="456" spans="1:15" s="5" customFormat="1" ht="16.149999999999999" customHeight="1" x14ac:dyDescent="0.2">
      <c r="A456" s="30"/>
      <c r="B456" s="110" t="s">
        <v>480</v>
      </c>
      <c r="C456" s="41"/>
      <c r="D456" s="41"/>
      <c r="E456" s="109"/>
      <c r="F456" s="109"/>
      <c r="G456" s="109"/>
      <c r="H456" s="89">
        <f t="shared" si="58"/>
        <v>0</v>
      </c>
      <c r="I456" s="89"/>
      <c r="K456" s="157"/>
      <c r="L456" s="157"/>
      <c r="M456" s="158"/>
      <c r="O456" s="82">
        <f t="shared" si="61"/>
        <v>0</v>
      </c>
    </row>
    <row r="457" spans="1:15" ht="15.95" customHeight="1" x14ac:dyDescent="0.2">
      <c r="A457" s="30"/>
      <c r="B457" s="41" t="s">
        <v>424</v>
      </c>
      <c r="C457" s="41"/>
      <c r="D457" s="41">
        <v>-20</v>
      </c>
      <c r="E457" s="90">
        <v>0.9</v>
      </c>
      <c r="F457" s="90"/>
      <c r="G457" s="90">
        <v>1.2</v>
      </c>
      <c r="H457" s="89">
        <f t="shared" si="58"/>
        <v>-21.599999999999998</v>
      </c>
      <c r="I457" s="89"/>
      <c r="J457" s="90"/>
      <c r="K457" s="157"/>
      <c r="L457" s="157"/>
      <c r="M457" s="158"/>
      <c r="O457" s="82">
        <f t="shared" si="61"/>
        <v>0</v>
      </c>
    </row>
    <row r="458" spans="1:15" ht="15.95" customHeight="1" x14ac:dyDescent="0.2">
      <c r="A458" s="30"/>
      <c r="B458" s="41" t="s">
        <v>481</v>
      </c>
      <c r="C458" s="41"/>
      <c r="D458" s="41">
        <v>-5</v>
      </c>
      <c r="E458" s="90">
        <v>1</v>
      </c>
      <c r="F458" s="90"/>
      <c r="G458" s="90">
        <v>2.4</v>
      </c>
      <c r="H458" s="89">
        <f t="shared" si="58"/>
        <v>-12</v>
      </c>
      <c r="I458" s="89"/>
      <c r="J458" s="108"/>
      <c r="K458" s="157"/>
      <c r="L458" s="157"/>
      <c r="M458" s="158"/>
      <c r="O458" s="82">
        <f t="shared" si="61"/>
        <v>0</v>
      </c>
    </row>
    <row r="459" spans="1:15" ht="15.95" customHeight="1" x14ac:dyDescent="0.2">
      <c r="A459" s="30"/>
      <c r="B459" s="46"/>
      <c r="C459" s="41"/>
      <c r="D459" s="41"/>
      <c r="E459" s="90"/>
      <c r="F459" s="90"/>
      <c r="G459" s="90"/>
      <c r="H459" s="89"/>
      <c r="I459" s="89">
        <f>SUM(H440:H458)</f>
        <v>827.15300000000013</v>
      </c>
      <c r="J459" s="108"/>
      <c r="K459" s="157"/>
      <c r="L459" s="157"/>
      <c r="M459" s="158"/>
      <c r="O459" s="82">
        <f t="shared" si="61"/>
        <v>0</v>
      </c>
    </row>
    <row r="460" spans="1:15" ht="15.95" customHeight="1" x14ac:dyDescent="0.2">
      <c r="A460" s="30"/>
      <c r="B460" s="46"/>
      <c r="C460" s="41"/>
      <c r="D460" s="41"/>
      <c r="E460" s="90"/>
      <c r="F460" s="90"/>
      <c r="G460" s="90"/>
      <c r="H460" s="89"/>
      <c r="I460" s="89">
        <f t="shared" si="58"/>
        <v>0</v>
      </c>
      <c r="J460" s="90"/>
      <c r="K460" s="157"/>
      <c r="L460" s="157"/>
      <c r="M460" s="158"/>
      <c r="O460" s="82">
        <f t="shared" si="61"/>
        <v>0</v>
      </c>
    </row>
    <row r="461" spans="1:15" s="5" customFormat="1" ht="16.149999999999999" customHeight="1" x14ac:dyDescent="0.2">
      <c r="A461" s="30"/>
      <c r="B461" s="98" t="s">
        <v>465</v>
      </c>
      <c r="C461" s="32"/>
      <c r="D461" s="32"/>
      <c r="E461" s="89"/>
      <c r="F461" s="89"/>
      <c r="G461" s="89"/>
      <c r="H461" s="89">
        <f t="shared" ref="H461:H471" si="62">PRODUCT(D461:G461)</f>
        <v>0</v>
      </c>
      <c r="I461" s="89"/>
      <c r="J461" s="89"/>
      <c r="K461" s="157"/>
      <c r="L461" s="157"/>
      <c r="M461" s="158"/>
      <c r="O461" s="82">
        <f t="shared" si="61"/>
        <v>0</v>
      </c>
    </row>
    <row r="462" spans="1:15" s="5" customFormat="1" ht="16.149999999999999" customHeight="1" x14ac:dyDescent="0.2">
      <c r="A462" s="30"/>
      <c r="B462" s="44" t="s">
        <v>485</v>
      </c>
      <c r="C462" s="41"/>
      <c r="D462" s="41">
        <v>2</v>
      </c>
      <c r="E462" s="109">
        <v>5.0999999999999996</v>
      </c>
      <c r="F462" s="109"/>
      <c r="G462" s="109">
        <f>3+0.1+0.25-0.45</f>
        <v>2.9</v>
      </c>
      <c r="H462" s="89">
        <f t="shared" si="62"/>
        <v>29.58</v>
      </c>
      <c r="I462" s="89"/>
      <c r="K462" s="157"/>
      <c r="L462" s="157"/>
      <c r="M462" s="158"/>
      <c r="O462" s="82">
        <f t="shared" si="61"/>
        <v>0</v>
      </c>
    </row>
    <row r="463" spans="1:15" ht="15.95" customHeight="1" x14ac:dyDescent="0.2">
      <c r="A463" s="30"/>
      <c r="B463" s="46"/>
      <c r="C463" s="41"/>
      <c r="D463" s="41">
        <v>2</v>
      </c>
      <c r="E463" s="90">
        <v>3.1</v>
      </c>
      <c r="F463" s="90"/>
      <c r="G463" s="109">
        <f>3+0.1+0.25-0.45</f>
        <v>2.9</v>
      </c>
      <c r="H463" s="89">
        <f t="shared" si="62"/>
        <v>17.98</v>
      </c>
      <c r="I463" s="90"/>
      <c r="J463" s="90"/>
      <c r="K463" s="157"/>
      <c r="L463" s="157"/>
      <c r="M463" s="158"/>
      <c r="O463" s="82">
        <f t="shared" si="61"/>
        <v>0</v>
      </c>
    </row>
    <row r="464" spans="1:15" s="5" customFormat="1" ht="16.149999999999999" customHeight="1" x14ac:dyDescent="0.2">
      <c r="A464" s="30"/>
      <c r="B464" s="110" t="s">
        <v>480</v>
      </c>
      <c r="C464" s="41"/>
      <c r="D464" s="41"/>
      <c r="E464" s="109"/>
      <c r="F464" s="109"/>
      <c r="G464" s="109"/>
      <c r="H464" s="89">
        <f t="shared" si="62"/>
        <v>0</v>
      </c>
      <c r="I464" s="89"/>
      <c r="K464" s="157"/>
      <c r="L464" s="157"/>
      <c r="M464" s="158"/>
      <c r="O464" s="82">
        <f t="shared" si="61"/>
        <v>0</v>
      </c>
    </row>
    <row r="465" spans="1:15" ht="15.95" customHeight="1" x14ac:dyDescent="0.2">
      <c r="A465" s="30"/>
      <c r="B465" s="41" t="s">
        <v>424</v>
      </c>
      <c r="C465" s="41"/>
      <c r="D465" s="41">
        <v>-1</v>
      </c>
      <c r="E465" s="90">
        <v>0.9</v>
      </c>
      <c r="F465" s="90"/>
      <c r="G465" s="90">
        <v>1.2</v>
      </c>
      <c r="H465" s="89">
        <f t="shared" si="62"/>
        <v>-1.08</v>
      </c>
      <c r="I465" s="89"/>
      <c r="J465" s="90"/>
      <c r="K465" s="157"/>
      <c r="L465" s="157"/>
      <c r="M465" s="158"/>
      <c r="O465" s="82">
        <f t="shared" si="61"/>
        <v>0</v>
      </c>
    </row>
    <row r="466" spans="1:15" ht="15.95" customHeight="1" x14ac:dyDescent="0.2">
      <c r="A466" s="30"/>
      <c r="B466" s="41" t="s">
        <v>481</v>
      </c>
      <c r="C466" s="41"/>
      <c r="D466" s="41">
        <v>-1</v>
      </c>
      <c r="E466" s="90">
        <v>0.9</v>
      </c>
      <c r="F466" s="90"/>
      <c r="G466" s="90">
        <v>2.2000000000000002</v>
      </c>
      <c r="H466" s="89">
        <f t="shared" si="62"/>
        <v>-1.9800000000000002</v>
      </c>
      <c r="I466" s="89"/>
      <c r="J466" s="108"/>
      <c r="K466" s="157"/>
      <c r="L466" s="157"/>
      <c r="M466" s="158"/>
      <c r="O466" s="82">
        <f t="shared" si="61"/>
        <v>0</v>
      </c>
    </row>
    <row r="467" spans="1:15" s="5" customFormat="1" ht="16.149999999999999" customHeight="1" x14ac:dyDescent="0.2">
      <c r="A467" s="30"/>
      <c r="B467" s="44" t="s">
        <v>486</v>
      </c>
      <c r="C467" s="41"/>
      <c r="D467" s="41">
        <v>2</v>
      </c>
      <c r="E467" s="109">
        <v>5.0999999999999996</v>
      </c>
      <c r="F467" s="109"/>
      <c r="G467" s="109">
        <f>3+0.1+0.25-0.45</f>
        <v>2.9</v>
      </c>
      <c r="H467" s="89">
        <f t="shared" si="62"/>
        <v>29.58</v>
      </c>
      <c r="I467" s="89"/>
      <c r="K467" s="157"/>
      <c r="L467" s="157"/>
      <c r="M467" s="158"/>
      <c r="O467" s="82">
        <f t="shared" si="61"/>
        <v>0</v>
      </c>
    </row>
    <row r="468" spans="1:15" ht="15.95" customHeight="1" x14ac:dyDescent="0.2">
      <c r="A468" s="30"/>
      <c r="B468" s="46"/>
      <c r="C468" s="41"/>
      <c r="D468" s="41">
        <v>2</v>
      </c>
      <c r="E468" s="90">
        <v>7.1</v>
      </c>
      <c r="F468" s="90"/>
      <c r="G468" s="109">
        <f>3+0.1+0.25-0.45</f>
        <v>2.9</v>
      </c>
      <c r="H468" s="89">
        <f t="shared" si="62"/>
        <v>41.18</v>
      </c>
      <c r="I468" s="90"/>
      <c r="J468" s="90"/>
      <c r="K468" s="157"/>
      <c r="L468" s="157"/>
      <c r="M468" s="158"/>
      <c r="O468" s="82">
        <f t="shared" si="61"/>
        <v>0</v>
      </c>
    </row>
    <row r="469" spans="1:15" s="5" customFormat="1" ht="16.149999999999999" customHeight="1" x14ac:dyDescent="0.2">
      <c r="A469" s="30"/>
      <c r="B469" s="110" t="s">
        <v>480</v>
      </c>
      <c r="C469" s="41"/>
      <c r="D469" s="41"/>
      <c r="E469" s="109"/>
      <c r="F469" s="109"/>
      <c r="G469" s="109"/>
      <c r="H469" s="89">
        <f t="shared" si="62"/>
        <v>0</v>
      </c>
      <c r="I469" s="89"/>
      <c r="K469" s="157"/>
      <c r="L469" s="157"/>
      <c r="M469" s="158"/>
      <c r="O469" s="82">
        <f t="shared" si="61"/>
        <v>0</v>
      </c>
    </row>
    <row r="470" spans="1:15" ht="15.95" customHeight="1" x14ac:dyDescent="0.2">
      <c r="A470" s="30"/>
      <c r="B470" s="41" t="s">
        <v>424</v>
      </c>
      <c r="C470" s="41"/>
      <c r="D470" s="41">
        <v>-2</v>
      </c>
      <c r="E470" s="90">
        <v>0.9</v>
      </c>
      <c r="F470" s="90"/>
      <c r="G470" s="90">
        <v>1.2</v>
      </c>
      <c r="H470" s="89">
        <f t="shared" si="62"/>
        <v>-2.16</v>
      </c>
      <c r="I470" s="89"/>
      <c r="J470" s="90"/>
      <c r="K470" s="157"/>
      <c r="L470" s="157"/>
      <c r="M470" s="158"/>
      <c r="O470" s="82">
        <f t="shared" si="61"/>
        <v>0</v>
      </c>
    </row>
    <row r="471" spans="1:15" ht="15.95" customHeight="1" x14ac:dyDescent="0.2">
      <c r="A471" s="30"/>
      <c r="B471" s="41" t="s">
        <v>481</v>
      </c>
      <c r="C471" s="41"/>
      <c r="D471" s="41">
        <v>-1</v>
      </c>
      <c r="E471" s="90">
        <v>1.8</v>
      </c>
      <c r="F471" s="90"/>
      <c r="G471" s="90">
        <v>2.2000000000000002</v>
      </c>
      <c r="H471" s="89">
        <f t="shared" si="62"/>
        <v>-3.9600000000000004</v>
      </c>
      <c r="I471" s="89"/>
      <c r="J471" s="108"/>
      <c r="K471" s="157"/>
      <c r="L471" s="157"/>
      <c r="M471" s="158"/>
      <c r="O471" s="82">
        <f t="shared" si="61"/>
        <v>0</v>
      </c>
    </row>
    <row r="472" spans="1:15" ht="15.95" customHeight="1" x14ac:dyDescent="0.2">
      <c r="A472" s="30"/>
      <c r="B472" s="46"/>
      <c r="C472" s="41"/>
      <c r="D472" s="41"/>
      <c r="E472" s="90"/>
      <c r="F472" s="90"/>
      <c r="G472" s="90"/>
      <c r="H472" s="89"/>
      <c r="I472" s="90"/>
      <c r="J472" s="90"/>
      <c r="K472" s="157"/>
      <c r="L472" s="157"/>
      <c r="M472" s="158"/>
      <c r="O472" s="82">
        <f t="shared" si="61"/>
        <v>0</v>
      </c>
    </row>
    <row r="473" spans="1:15" s="5" customFormat="1" ht="16.149999999999999" customHeight="1" x14ac:dyDescent="0.2">
      <c r="A473" s="30"/>
      <c r="B473" s="44" t="s">
        <v>487</v>
      </c>
      <c r="C473" s="41"/>
      <c r="D473" s="41">
        <v>2</v>
      </c>
      <c r="E473" s="109">
        <f>2.1+0.1+2.1</f>
        <v>4.3000000000000007</v>
      </c>
      <c r="F473" s="109"/>
      <c r="G473" s="109">
        <f>3+0.1+0.25-0.45</f>
        <v>2.9</v>
      </c>
      <c r="H473" s="89">
        <f t="shared" ref="H473:H477" si="63">PRODUCT(D473:G473)</f>
        <v>24.940000000000005</v>
      </c>
      <c r="I473" s="89"/>
      <c r="K473" s="157"/>
      <c r="L473" s="157"/>
      <c r="M473" s="158"/>
      <c r="O473" s="82">
        <f t="shared" si="61"/>
        <v>0</v>
      </c>
    </row>
    <row r="474" spans="1:15" ht="15.95" customHeight="1" x14ac:dyDescent="0.2">
      <c r="A474" s="30"/>
      <c r="B474" s="46"/>
      <c r="C474" s="41"/>
      <c r="D474" s="41">
        <v>1</v>
      </c>
      <c r="E474" s="90">
        <v>2.1</v>
      </c>
      <c r="F474" s="90"/>
      <c r="G474" s="109">
        <f>3+0.1+0.25-0.45</f>
        <v>2.9</v>
      </c>
      <c r="H474" s="89">
        <f t="shared" si="63"/>
        <v>6.09</v>
      </c>
      <c r="I474" s="90"/>
      <c r="J474" s="90"/>
      <c r="K474" s="157"/>
      <c r="L474" s="157"/>
      <c r="M474" s="158"/>
      <c r="O474" s="82">
        <f t="shared" si="61"/>
        <v>0</v>
      </c>
    </row>
    <row r="475" spans="1:15" s="5" customFormat="1" ht="16.149999999999999" customHeight="1" x14ac:dyDescent="0.2">
      <c r="A475" s="30"/>
      <c r="B475" s="110" t="s">
        <v>480</v>
      </c>
      <c r="C475" s="41"/>
      <c r="D475" s="41"/>
      <c r="E475" s="109"/>
      <c r="F475" s="109"/>
      <c r="G475" s="109"/>
      <c r="H475" s="89">
        <f t="shared" si="63"/>
        <v>0</v>
      </c>
      <c r="I475" s="89"/>
      <c r="K475" s="157"/>
      <c r="L475" s="157"/>
      <c r="M475" s="158"/>
      <c r="O475" s="82">
        <f t="shared" si="61"/>
        <v>0</v>
      </c>
    </row>
    <row r="476" spans="1:15" ht="15.95" customHeight="1" x14ac:dyDescent="0.2">
      <c r="A476" s="30"/>
      <c r="B476" s="41" t="s">
        <v>424</v>
      </c>
      <c r="C476" s="41"/>
      <c r="D476" s="41">
        <v>-2</v>
      </c>
      <c r="E476" s="90">
        <v>0.9</v>
      </c>
      <c r="F476" s="90"/>
      <c r="G476" s="90">
        <v>0.5</v>
      </c>
      <c r="H476" s="89">
        <f t="shared" si="63"/>
        <v>-0.9</v>
      </c>
      <c r="I476" s="89"/>
      <c r="J476" s="90"/>
      <c r="K476" s="157"/>
      <c r="L476" s="157"/>
      <c r="M476" s="158"/>
      <c r="O476" s="82">
        <f t="shared" si="61"/>
        <v>0</v>
      </c>
    </row>
    <row r="477" spans="1:15" ht="15.95" customHeight="1" x14ac:dyDescent="0.2">
      <c r="A477" s="30"/>
      <c r="B477" s="41" t="s">
        <v>481</v>
      </c>
      <c r="C477" s="41"/>
      <c r="D477" s="41">
        <v>-2</v>
      </c>
      <c r="E477" s="90">
        <v>0.8</v>
      </c>
      <c r="F477" s="90"/>
      <c r="G477" s="90">
        <v>2.2000000000000002</v>
      </c>
      <c r="H477" s="89">
        <f t="shared" si="63"/>
        <v>-3.5200000000000005</v>
      </c>
      <c r="I477" s="89"/>
      <c r="J477" s="108"/>
      <c r="K477" s="157"/>
      <c r="L477" s="157"/>
      <c r="M477" s="158"/>
      <c r="O477" s="82">
        <f t="shared" si="61"/>
        <v>0</v>
      </c>
    </row>
    <row r="478" spans="1:15" ht="15.95" customHeight="1" x14ac:dyDescent="0.2">
      <c r="A478" s="30"/>
      <c r="B478" s="46"/>
      <c r="C478" s="41"/>
      <c r="D478" s="41"/>
      <c r="E478" s="90"/>
      <c r="F478" s="90"/>
      <c r="G478" s="90"/>
      <c r="H478" s="89"/>
      <c r="I478" s="90"/>
      <c r="J478" s="90"/>
      <c r="K478" s="157"/>
      <c r="L478" s="157"/>
      <c r="M478" s="158"/>
      <c r="O478" s="82">
        <f t="shared" si="61"/>
        <v>0</v>
      </c>
    </row>
    <row r="479" spans="1:15" s="5" customFormat="1" ht="16.149999999999999" customHeight="1" x14ac:dyDescent="0.2">
      <c r="A479" s="30"/>
      <c r="B479" s="44" t="s">
        <v>490</v>
      </c>
      <c r="C479" s="41"/>
      <c r="D479" s="41">
        <v>1</v>
      </c>
      <c r="E479" s="109">
        <v>1.3</v>
      </c>
      <c r="F479" s="109"/>
      <c r="G479" s="109">
        <f>3+0.1+0.25-0.45</f>
        <v>2.9</v>
      </c>
      <c r="H479" s="89">
        <f t="shared" ref="H479:H494" si="64">PRODUCT(D479:G479)</f>
        <v>3.77</v>
      </c>
      <c r="I479" s="89"/>
      <c r="K479" s="157"/>
      <c r="L479" s="157"/>
      <c r="M479" s="158"/>
      <c r="O479" s="82">
        <f t="shared" si="61"/>
        <v>0</v>
      </c>
    </row>
    <row r="480" spans="1:15" s="5" customFormat="1" ht="16.149999999999999" customHeight="1" x14ac:dyDescent="0.2">
      <c r="A480" s="30"/>
      <c r="B480" s="110" t="s">
        <v>480</v>
      </c>
      <c r="C480" s="41"/>
      <c r="D480" s="41"/>
      <c r="E480" s="109"/>
      <c r="F480" s="109"/>
      <c r="G480" s="109"/>
      <c r="H480" s="89">
        <f t="shared" si="64"/>
        <v>0</v>
      </c>
      <c r="I480" s="89"/>
      <c r="K480" s="157"/>
      <c r="L480" s="157"/>
      <c r="M480" s="158"/>
      <c r="O480" s="82">
        <f t="shared" si="61"/>
        <v>0</v>
      </c>
    </row>
    <row r="481" spans="1:15" ht="15.95" customHeight="1" x14ac:dyDescent="0.2">
      <c r="A481" s="30"/>
      <c r="B481" s="41" t="s">
        <v>481</v>
      </c>
      <c r="C481" s="41"/>
      <c r="D481" s="41">
        <v>-1</v>
      </c>
      <c r="E481" s="90">
        <v>2</v>
      </c>
      <c r="F481" s="90"/>
      <c r="G481" s="90">
        <v>2.2000000000000002</v>
      </c>
      <c r="H481" s="89">
        <f t="shared" si="64"/>
        <v>-4.4000000000000004</v>
      </c>
      <c r="I481" s="89"/>
      <c r="J481" s="108"/>
      <c r="K481" s="157"/>
      <c r="L481" s="157"/>
      <c r="M481" s="158"/>
      <c r="O481" s="82">
        <f t="shared" si="61"/>
        <v>0</v>
      </c>
    </row>
    <row r="482" spans="1:15" s="5" customFormat="1" ht="16.149999999999999" customHeight="1" x14ac:dyDescent="0.2">
      <c r="A482" s="30"/>
      <c r="B482" s="44" t="s">
        <v>488</v>
      </c>
      <c r="C482" s="41"/>
      <c r="D482" s="41">
        <v>2</v>
      </c>
      <c r="E482" s="109">
        <v>4.8</v>
      </c>
      <c r="F482" s="109"/>
      <c r="G482" s="109">
        <f>3+0.1+0.25-0.45</f>
        <v>2.9</v>
      </c>
      <c r="H482" s="89">
        <f t="shared" si="64"/>
        <v>27.84</v>
      </c>
      <c r="I482" s="89"/>
      <c r="K482" s="157"/>
      <c r="L482" s="157"/>
      <c r="M482" s="158"/>
      <c r="O482" s="82">
        <f t="shared" si="61"/>
        <v>0</v>
      </c>
    </row>
    <row r="483" spans="1:15" ht="15.95" customHeight="1" x14ac:dyDescent="0.2">
      <c r="A483" s="30"/>
      <c r="B483" s="46"/>
      <c r="C483" s="41"/>
      <c r="D483" s="41">
        <v>2</v>
      </c>
      <c r="E483" s="90">
        <v>2.9</v>
      </c>
      <c r="F483" s="90"/>
      <c r="G483" s="109">
        <f>3+0.1+0.25-0.45</f>
        <v>2.9</v>
      </c>
      <c r="H483" s="89">
        <f t="shared" si="64"/>
        <v>16.82</v>
      </c>
      <c r="I483" s="90"/>
      <c r="J483" s="90"/>
      <c r="K483" s="157"/>
      <c r="L483" s="157"/>
      <c r="M483" s="158"/>
      <c r="O483" s="82">
        <f t="shared" si="61"/>
        <v>0</v>
      </c>
    </row>
    <row r="484" spans="1:15" s="5" customFormat="1" ht="16.149999999999999" customHeight="1" x14ac:dyDescent="0.2">
      <c r="A484" s="30"/>
      <c r="B484" s="110" t="s">
        <v>480</v>
      </c>
      <c r="C484" s="41"/>
      <c r="D484" s="41"/>
      <c r="E484" s="109"/>
      <c r="F484" s="109"/>
      <c r="G484" s="109"/>
      <c r="H484" s="89">
        <f t="shared" si="64"/>
        <v>0</v>
      </c>
      <c r="I484" s="89"/>
      <c r="K484" s="157"/>
      <c r="L484" s="157"/>
      <c r="M484" s="158"/>
      <c r="O484" s="82">
        <f t="shared" si="61"/>
        <v>0</v>
      </c>
    </row>
    <row r="485" spans="1:15" ht="15.95" customHeight="1" x14ac:dyDescent="0.2">
      <c r="A485" s="30"/>
      <c r="B485" s="41" t="s">
        <v>424</v>
      </c>
      <c r="C485" s="41"/>
      <c r="D485" s="41">
        <v>-1</v>
      </c>
      <c r="E485" s="90">
        <v>0.9</v>
      </c>
      <c r="F485" s="90"/>
      <c r="G485" s="90">
        <v>1.2</v>
      </c>
      <c r="H485" s="89">
        <f t="shared" si="64"/>
        <v>-1.08</v>
      </c>
      <c r="I485" s="89"/>
      <c r="J485" s="90"/>
      <c r="K485" s="157"/>
      <c r="L485" s="157"/>
      <c r="M485" s="158"/>
      <c r="O485" s="82">
        <f t="shared" si="61"/>
        <v>0</v>
      </c>
    </row>
    <row r="486" spans="1:15" ht="15.95" customHeight="1" x14ac:dyDescent="0.2">
      <c r="A486" s="30"/>
      <c r="B486" s="41" t="s">
        <v>481</v>
      </c>
      <c r="C486" s="41"/>
      <c r="D486" s="41">
        <v>-2</v>
      </c>
      <c r="E486" s="90">
        <v>0.9</v>
      </c>
      <c r="F486" s="90"/>
      <c r="G486" s="90">
        <v>2.2000000000000002</v>
      </c>
      <c r="H486" s="89">
        <f t="shared" si="64"/>
        <v>-3.9600000000000004</v>
      </c>
      <c r="I486" s="89"/>
      <c r="J486" s="108"/>
      <c r="K486" s="157"/>
      <c r="L486" s="157"/>
      <c r="M486" s="158"/>
      <c r="O486" s="82">
        <f t="shared" si="61"/>
        <v>0</v>
      </c>
    </row>
    <row r="487" spans="1:15" s="5" customFormat="1" ht="16.149999999999999" customHeight="1" x14ac:dyDescent="0.2">
      <c r="A487" s="30"/>
      <c r="B487" s="44" t="s">
        <v>479</v>
      </c>
      <c r="C487" s="41"/>
      <c r="D487" s="41">
        <v>2</v>
      </c>
      <c r="E487" s="109">
        <v>4.7</v>
      </c>
      <c r="F487" s="109"/>
      <c r="G487" s="109">
        <f>3+0.1+0.25-0.45</f>
        <v>2.9</v>
      </c>
      <c r="H487" s="89">
        <f t="shared" si="64"/>
        <v>27.26</v>
      </c>
      <c r="I487" s="89"/>
      <c r="K487" s="157"/>
      <c r="L487" s="157"/>
      <c r="M487" s="158"/>
      <c r="O487" s="82">
        <f t="shared" si="61"/>
        <v>0</v>
      </c>
    </row>
    <row r="488" spans="1:15" ht="15.95" customHeight="1" x14ac:dyDescent="0.2">
      <c r="A488" s="30"/>
      <c r="B488" s="46"/>
      <c r="C488" s="41"/>
      <c r="D488" s="41">
        <v>2</v>
      </c>
      <c r="E488" s="90">
        <v>2.9</v>
      </c>
      <c r="F488" s="90"/>
      <c r="G488" s="109">
        <f>3+0.1+0.25-0.45</f>
        <v>2.9</v>
      </c>
      <c r="H488" s="89">
        <f t="shared" si="64"/>
        <v>16.82</v>
      </c>
      <c r="I488" s="90"/>
      <c r="J488" s="90"/>
      <c r="K488" s="157"/>
      <c r="L488" s="157"/>
      <c r="M488" s="158"/>
      <c r="O488" s="82">
        <f t="shared" si="61"/>
        <v>0</v>
      </c>
    </row>
    <row r="489" spans="1:15" s="5" customFormat="1" ht="16.149999999999999" customHeight="1" x14ac:dyDescent="0.2">
      <c r="A489" s="30"/>
      <c r="B489" s="110" t="s">
        <v>480</v>
      </c>
      <c r="C489" s="41"/>
      <c r="D489" s="41"/>
      <c r="E489" s="109"/>
      <c r="F489" s="109"/>
      <c r="G489" s="109"/>
      <c r="H489" s="89">
        <f t="shared" si="64"/>
        <v>0</v>
      </c>
      <c r="I489" s="89"/>
      <c r="K489" s="157"/>
      <c r="L489" s="157"/>
      <c r="M489" s="158"/>
      <c r="O489" s="82">
        <f t="shared" si="61"/>
        <v>0</v>
      </c>
    </row>
    <row r="490" spans="1:15" ht="15.95" customHeight="1" x14ac:dyDescent="0.2">
      <c r="A490" s="30"/>
      <c r="B490" s="41" t="s">
        <v>424</v>
      </c>
      <c r="C490" s="41"/>
      <c r="D490" s="41">
        <v>-1</v>
      </c>
      <c r="E490" s="90">
        <v>0.9</v>
      </c>
      <c r="F490" s="90"/>
      <c r="G490" s="90">
        <v>1.2</v>
      </c>
      <c r="H490" s="89">
        <f t="shared" si="64"/>
        <v>-1.08</v>
      </c>
      <c r="I490" s="89"/>
      <c r="J490" s="90"/>
      <c r="K490" s="157"/>
      <c r="L490" s="157"/>
      <c r="M490" s="158"/>
      <c r="O490" s="82">
        <f t="shared" si="61"/>
        <v>0</v>
      </c>
    </row>
    <row r="491" spans="1:15" ht="15.95" customHeight="1" x14ac:dyDescent="0.2">
      <c r="A491" s="30"/>
      <c r="B491" s="41" t="s">
        <v>481</v>
      </c>
      <c r="C491" s="41"/>
      <c r="D491" s="41">
        <v>-1</v>
      </c>
      <c r="E491" s="90">
        <v>0.9</v>
      </c>
      <c r="F491" s="90"/>
      <c r="G491" s="90">
        <v>2.2000000000000002</v>
      </c>
      <c r="H491" s="89">
        <f t="shared" si="64"/>
        <v>-1.9800000000000002</v>
      </c>
      <c r="I491" s="89"/>
      <c r="J491" s="108"/>
      <c r="K491" s="157"/>
      <c r="L491" s="157"/>
      <c r="M491" s="158"/>
      <c r="O491" s="82">
        <f t="shared" si="61"/>
        <v>0</v>
      </c>
    </row>
    <row r="492" spans="1:15" s="5" customFormat="1" ht="16.149999999999999" customHeight="1" x14ac:dyDescent="0.2">
      <c r="A492" s="30"/>
      <c r="B492" s="44" t="s">
        <v>489</v>
      </c>
      <c r="C492" s="41"/>
      <c r="D492" s="41">
        <v>1</v>
      </c>
      <c r="E492" s="109">
        <v>2</v>
      </c>
      <c r="F492" s="109"/>
      <c r="G492" s="109">
        <v>3.1</v>
      </c>
      <c r="H492" s="89">
        <f t="shared" si="64"/>
        <v>6.2</v>
      </c>
      <c r="I492" s="89"/>
      <c r="K492" s="157"/>
      <c r="L492" s="157"/>
      <c r="M492" s="158"/>
      <c r="O492" s="82">
        <f t="shared" si="61"/>
        <v>0</v>
      </c>
    </row>
    <row r="493" spans="1:15" s="5" customFormat="1" ht="16.149999999999999" customHeight="1" x14ac:dyDescent="0.2">
      <c r="A493" s="30"/>
      <c r="B493" s="110" t="s">
        <v>480</v>
      </c>
      <c r="C493" s="41"/>
      <c r="D493" s="41"/>
      <c r="E493" s="109"/>
      <c r="F493" s="109"/>
      <c r="G493" s="109"/>
      <c r="H493" s="89">
        <f t="shared" si="64"/>
        <v>0</v>
      </c>
      <c r="I493" s="89"/>
      <c r="K493" s="157"/>
      <c r="L493" s="157"/>
      <c r="M493" s="158"/>
      <c r="O493" s="82">
        <f t="shared" si="61"/>
        <v>0</v>
      </c>
    </row>
    <row r="494" spans="1:15" ht="15.95" customHeight="1" x14ac:dyDescent="0.2">
      <c r="A494" s="30"/>
      <c r="B494" s="41" t="s">
        <v>481</v>
      </c>
      <c r="C494" s="41"/>
      <c r="D494" s="41">
        <v>-1</v>
      </c>
      <c r="E494" s="90">
        <v>2</v>
      </c>
      <c r="F494" s="90"/>
      <c r="G494" s="90">
        <v>2.2000000000000002</v>
      </c>
      <c r="H494" s="89">
        <f t="shared" si="64"/>
        <v>-4.4000000000000004</v>
      </c>
      <c r="I494" s="89"/>
      <c r="J494" s="108"/>
      <c r="K494" s="157"/>
      <c r="L494" s="157"/>
      <c r="M494" s="158"/>
      <c r="O494" s="82">
        <f t="shared" si="61"/>
        <v>0</v>
      </c>
    </row>
    <row r="495" spans="1:15" ht="15.95" customHeight="1" x14ac:dyDescent="0.2">
      <c r="A495" s="30"/>
      <c r="B495" s="46"/>
      <c r="C495" s="41"/>
      <c r="D495" s="41"/>
      <c r="E495" s="90"/>
      <c r="F495" s="90"/>
      <c r="G495" s="90"/>
      <c r="H495" s="89"/>
      <c r="I495" s="90">
        <f>SUM(H461:H494)</f>
        <v>217.55999999999997</v>
      </c>
      <c r="J495" s="90"/>
      <c r="K495" s="157"/>
      <c r="L495" s="157"/>
      <c r="M495" s="158"/>
      <c r="O495" s="82">
        <f t="shared" si="61"/>
        <v>0</v>
      </c>
    </row>
    <row r="496" spans="1:15" s="5" customFormat="1" ht="16.149999999999999" customHeight="1" x14ac:dyDescent="0.2">
      <c r="A496" s="30"/>
      <c r="B496" s="98" t="s">
        <v>530</v>
      </c>
      <c r="C496" s="32"/>
      <c r="D496" s="32"/>
      <c r="E496" s="89"/>
      <c r="F496" s="89"/>
      <c r="G496" s="89"/>
      <c r="H496" s="89">
        <f t="shared" ref="H496:H531" si="65">PRODUCT(D496:G496)</f>
        <v>0</v>
      </c>
      <c r="I496" s="89"/>
      <c r="J496" s="89"/>
      <c r="K496" s="157"/>
      <c r="L496" s="157"/>
      <c r="M496" s="158"/>
      <c r="O496" s="82">
        <f t="shared" si="61"/>
        <v>0</v>
      </c>
    </row>
    <row r="497" spans="1:15" s="5" customFormat="1" ht="16.149999999999999" customHeight="1" x14ac:dyDescent="0.2">
      <c r="A497" s="30"/>
      <c r="B497" s="44" t="s">
        <v>540</v>
      </c>
      <c r="C497" s="41"/>
      <c r="D497" s="41">
        <v>1</v>
      </c>
      <c r="E497" s="109">
        <v>3.37</v>
      </c>
      <c r="F497" s="109"/>
      <c r="G497" s="109">
        <f>3+0.1+0.25-0.45</f>
        <v>2.9</v>
      </c>
      <c r="H497" s="89">
        <f t="shared" si="65"/>
        <v>9.7729999999999997</v>
      </c>
      <c r="I497" s="89"/>
      <c r="K497" s="157"/>
      <c r="L497" s="157"/>
      <c r="M497" s="158"/>
      <c r="O497" s="82">
        <f t="shared" si="61"/>
        <v>0</v>
      </c>
    </row>
    <row r="498" spans="1:15" ht="15.95" customHeight="1" x14ac:dyDescent="0.2">
      <c r="A498" s="30"/>
      <c r="B498" s="46"/>
      <c r="C498" s="41"/>
      <c r="D498" s="41">
        <v>2</v>
      </c>
      <c r="E498" s="90">
        <v>3.17</v>
      </c>
      <c r="F498" s="90"/>
      <c r="G498" s="109">
        <f>3+0.1+0.25-0.45</f>
        <v>2.9</v>
      </c>
      <c r="H498" s="89">
        <f t="shared" si="65"/>
        <v>18.385999999999999</v>
      </c>
      <c r="I498" s="90"/>
      <c r="J498" s="90"/>
      <c r="K498" s="157"/>
      <c r="L498" s="157"/>
      <c r="M498" s="158"/>
      <c r="O498" s="82">
        <f t="shared" si="61"/>
        <v>0</v>
      </c>
    </row>
    <row r="499" spans="1:15" s="5" customFormat="1" ht="16.149999999999999" customHeight="1" x14ac:dyDescent="0.2">
      <c r="A499" s="30"/>
      <c r="B499" s="110" t="s">
        <v>480</v>
      </c>
      <c r="C499" s="41"/>
      <c r="D499" s="41"/>
      <c r="E499" s="109"/>
      <c r="F499" s="109"/>
      <c r="G499" s="109"/>
      <c r="H499" s="89">
        <f t="shared" si="65"/>
        <v>0</v>
      </c>
      <c r="I499" s="89"/>
      <c r="K499" s="157"/>
      <c r="L499" s="157"/>
      <c r="M499" s="158"/>
      <c r="O499" s="82">
        <f t="shared" si="61"/>
        <v>0</v>
      </c>
    </row>
    <row r="500" spans="1:15" ht="15.95" customHeight="1" x14ac:dyDescent="0.2">
      <c r="A500" s="30"/>
      <c r="B500" s="41" t="s">
        <v>424</v>
      </c>
      <c r="C500" s="41"/>
      <c r="D500" s="41">
        <v>-1</v>
      </c>
      <c r="E500" s="90">
        <v>0.9</v>
      </c>
      <c r="F500" s="90"/>
      <c r="G500" s="90">
        <v>1.2</v>
      </c>
      <c r="H500" s="89">
        <f t="shared" si="65"/>
        <v>-1.08</v>
      </c>
      <c r="I500" s="89"/>
      <c r="J500" s="90"/>
      <c r="K500" s="157"/>
      <c r="L500" s="157"/>
      <c r="M500" s="158"/>
      <c r="O500" s="82">
        <f t="shared" si="61"/>
        <v>0</v>
      </c>
    </row>
    <row r="501" spans="1:15" ht="15.95" customHeight="1" x14ac:dyDescent="0.2">
      <c r="A501" s="30"/>
      <c r="B501" s="41" t="s">
        <v>481</v>
      </c>
      <c r="C501" s="41"/>
      <c r="D501" s="41">
        <v>-1</v>
      </c>
      <c r="E501" s="90">
        <v>0.9</v>
      </c>
      <c r="F501" s="90"/>
      <c r="G501" s="90">
        <v>2.2000000000000002</v>
      </c>
      <c r="H501" s="89">
        <f t="shared" si="65"/>
        <v>-1.9800000000000002</v>
      </c>
      <c r="I501" s="89"/>
      <c r="J501" s="108"/>
      <c r="K501" s="157"/>
      <c r="L501" s="157"/>
      <c r="M501" s="158"/>
      <c r="O501" s="82">
        <f t="shared" si="61"/>
        <v>0</v>
      </c>
    </row>
    <row r="502" spans="1:15" s="5" customFormat="1" ht="16.149999999999999" customHeight="1" x14ac:dyDescent="0.2">
      <c r="A502" s="30"/>
      <c r="B502" s="44" t="s">
        <v>541</v>
      </c>
      <c r="C502" s="41"/>
      <c r="D502" s="41">
        <v>1</v>
      </c>
      <c r="E502" s="109">
        <v>1.9</v>
      </c>
      <c r="F502" s="109"/>
      <c r="G502" s="109">
        <f>3+0.1+0.25-0.45</f>
        <v>2.9</v>
      </c>
      <c r="H502" s="89">
        <f t="shared" si="65"/>
        <v>5.51</v>
      </c>
      <c r="I502" s="89"/>
      <c r="K502" s="157"/>
      <c r="L502" s="157"/>
      <c r="M502" s="158"/>
      <c r="O502" s="82">
        <f t="shared" si="61"/>
        <v>0</v>
      </c>
    </row>
    <row r="503" spans="1:15" s="5" customFormat="1" ht="16.149999999999999" customHeight="1" x14ac:dyDescent="0.2">
      <c r="A503" s="30"/>
      <c r="B503" s="110" t="s">
        <v>480</v>
      </c>
      <c r="C503" s="41"/>
      <c r="D503" s="41"/>
      <c r="E503" s="109"/>
      <c r="F503" s="109"/>
      <c r="G503" s="109"/>
      <c r="H503" s="89">
        <f t="shared" si="65"/>
        <v>0</v>
      </c>
      <c r="I503" s="89"/>
      <c r="K503" s="157"/>
      <c r="L503" s="157"/>
      <c r="M503" s="158"/>
      <c r="O503" s="82">
        <f t="shared" si="61"/>
        <v>0</v>
      </c>
    </row>
    <row r="504" spans="1:15" ht="15.95" customHeight="1" x14ac:dyDescent="0.2">
      <c r="A504" s="30"/>
      <c r="B504" s="41" t="s">
        <v>424</v>
      </c>
      <c r="C504" s="41"/>
      <c r="D504" s="41">
        <v>-1</v>
      </c>
      <c r="E504" s="90">
        <v>0.9</v>
      </c>
      <c r="F504" s="90"/>
      <c r="G504" s="90">
        <v>1.2</v>
      </c>
      <c r="H504" s="89">
        <f t="shared" si="65"/>
        <v>-1.08</v>
      </c>
      <c r="I504" s="89"/>
      <c r="J504" s="90"/>
      <c r="K504" s="157"/>
      <c r="L504" s="157"/>
      <c r="M504" s="158"/>
      <c r="O504" s="82">
        <f t="shared" si="61"/>
        <v>0</v>
      </c>
    </row>
    <row r="505" spans="1:15" ht="15.95" customHeight="1" x14ac:dyDescent="0.2">
      <c r="A505" s="30"/>
      <c r="B505" s="46"/>
      <c r="C505" s="41"/>
      <c r="D505" s="41"/>
      <c r="E505" s="90"/>
      <c r="F505" s="90"/>
      <c r="G505" s="90"/>
      <c r="H505" s="89">
        <f t="shared" si="65"/>
        <v>0</v>
      </c>
      <c r="I505" s="90"/>
      <c r="J505" s="90"/>
      <c r="K505" s="157"/>
      <c r="L505" s="157"/>
      <c r="M505" s="158"/>
      <c r="O505" s="82">
        <f t="shared" si="61"/>
        <v>0</v>
      </c>
    </row>
    <row r="506" spans="1:15" s="5" customFormat="1" ht="16.149999999999999" customHeight="1" x14ac:dyDescent="0.2">
      <c r="A506" s="30"/>
      <c r="B506" s="44" t="s">
        <v>542</v>
      </c>
      <c r="C506" s="41"/>
      <c r="D506" s="41">
        <v>1</v>
      </c>
      <c r="E506" s="109">
        <v>3.1</v>
      </c>
      <c r="F506" s="109"/>
      <c r="G506" s="109">
        <f>3+0.1+0.25-0.45</f>
        <v>2.9</v>
      </c>
      <c r="H506" s="89">
        <f t="shared" si="65"/>
        <v>8.99</v>
      </c>
      <c r="I506" s="89"/>
      <c r="K506" s="157"/>
      <c r="L506" s="157"/>
      <c r="M506" s="158"/>
      <c r="O506" s="82">
        <f t="shared" si="61"/>
        <v>0</v>
      </c>
    </row>
    <row r="507" spans="1:15" ht="15.95" customHeight="1" x14ac:dyDescent="0.2">
      <c r="A507" s="30"/>
      <c r="B507" s="46"/>
      <c r="C507" s="41"/>
      <c r="D507" s="41">
        <v>1</v>
      </c>
      <c r="E507" s="90">
        <v>2.9</v>
      </c>
      <c r="F507" s="90"/>
      <c r="G507" s="109">
        <f>3+0.1+0.25-0.45</f>
        <v>2.9</v>
      </c>
      <c r="H507" s="89">
        <f t="shared" si="65"/>
        <v>8.41</v>
      </c>
      <c r="I507" s="90"/>
      <c r="J507" s="90"/>
      <c r="K507" s="157"/>
      <c r="L507" s="157"/>
      <c r="M507" s="158"/>
      <c r="O507" s="82">
        <f t="shared" si="61"/>
        <v>0</v>
      </c>
    </row>
    <row r="508" spans="1:15" s="5" customFormat="1" ht="16.149999999999999" customHeight="1" x14ac:dyDescent="0.2">
      <c r="A508" s="30"/>
      <c r="B508" s="110" t="s">
        <v>480</v>
      </c>
      <c r="C508" s="41"/>
      <c r="D508" s="41"/>
      <c r="E508" s="109"/>
      <c r="F508" s="109"/>
      <c r="G508" s="109"/>
      <c r="H508" s="89">
        <f t="shared" si="65"/>
        <v>0</v>
      </c>
      <c r="I508" s="89"/>
      <c r="K508" s="157"/>
      <c r="L508" s="157"/>
      <c r="M508" s="158"/>
      <c r="O508" s="82">
        <f t="shared" si="61"/>
        <v>0</v>
      </c>
    </row>
    <row r="509" spans="1:15" ht="15.95" customHeight="1" x14ac:dyDescent="0.2">
      <c r="A509" s="30"/>
      <c r="B509" s="41" t="s">
        <v>424</v>
      </c>
      <c r="C509" s="41"/>
      <c r="D509" s="41">
        <v>-1</v>
      </c>
      <c r="E509" s="90">
        <v>0.9</v>
      </c>
      <c r="F509" s="90"/>
      <c r="G509" s="90">
        <v>1.2</v>
      </c>
      <c r="H509" s="89">
        <f t="shared" si="65"/>
        <v>-1.08</v>
      </c>
      <c r="I509" s="89"/>
      <c r="J509" s="90"/>
      <c r="K509" s="157"/>
      <c r="L509" s="157"/>
      <c r="M509" s="158"/>
      <c r="O509" s="82">
        <f t="shared" si="61"/>
        <v>0</v>
      </c>
    </row>
    <row r="510" spans="1:15" s="5" customFormat="1" ht="16.149999999999999" customHeight="1" x14ac:dyDescent="0.2">
      <c r="A510" s="30"/>
      <c r="B510" s="44" t="s">
        <v>533</v>
      </c>
      <c r="C510" s="41"/>
      <c r="D510" s="41">
        <v>2</v>
      </c>
      <c r="E510" s="109">
        <f>3.22+0.2+1.2</f>
        <v>4.62</v>
      </c>
      <c r="F510" s="109"/>
      <c r="G510" s="109">
        <f>3+0.1+0.25-0.45</f>
        <v>2.9</v>
      </c>
      <c r="H510" s="89">
        <f t="shared" si="65"/>
        <v>26.795999999999999</v>
      </c>
      <c r="I510" s="89"/>
      <c r="K510" s="157"/>
      <c r="L510" s="157"/>
      <c r="M510" s="158"/>
      <c r="O510" s="82">
        <f t="shared" si="61"/>
        <v>0</v>
      </c>
    </row>
    <row r="511" spans="1:15" ht="15.95" customHeight="1" x14ac:dyDescent="0.2">
      <c r="A511" s="30"/>
      <c r="B511" s="46"/>
      <c r="C511" s="41"/>
      <c r="D511" s="41">
        <v>3</v>
      </c>
      <c r="E511" s="90">
        <v>2.85</v>
      </c>
      <c r="F511" s="90"/>
      <c r="G511" s="109">
        <f>3+0.1+0.25-0.45</f>
        <v>2.9</v>
      </c>
      <c r="H511" s="89">
        <f t="shared" si="65"/>
        <v>24.795000000000002</v>
      </c>
      <c r="I511" s="90"/>
      <c r="J511" s="90"/>
      <c r="K511" s="157"/>
      <c r="L511" s="157"/>
      <c r="M511" s="158"/>
      <c r="O511" s="82">
        <f t="shared" si="61"/>
        <v>0</v>
      </c>
    </row>
    <row r="512" spans="1:15" s="5" customFormat="1" ht="16.149999999999999" customHeight="1" x14ac:dyDescent="0.2">
      <c r="A512" s="30"/>
      <c r="B512" s="110" t="s">
        <v>480</v>
      </c>
      <c r="C512" s="41"/>
      <c r="D512" s="41"/>
      <c r="E512" s="109"/>
      <c r="F512" s="109"/>
      <c r="G512" s="109"/>
      <c r="H512" s="89">
        <f t="shared" si="65"/>
        <v>0</v>
      </c>
      <c r="I512" s="89"/>
      <c r="K512" s="157"/>
      <c r="L512" s="157"/>
      <c r="M512" s="158"/>
      <c r="O512" s="82">
        <f t="shared" si="61"/>
        <v>0</v>
      </c>
    </row>
    <row r="513" spans="1:15" ht="15.95" customHeight="1" x14ac:dyDescent="0.2">
      <c r="A513" s="30"/>
      <c r="B513" s="41" t="s">
        <v>424</v>
      </c>
      <c r="C513" s="41"/>
      <c r="D513" s="41">
        <v>-1</v>
      </c>
      <c r="E513" s="90">
        <v>0.9</v>
      </c>
      <c r="F513" s="90"/>
      <c r="G513" s="90">
        <v>1.2</v>
      </c>
      <c r="H513" s="89">
        <f t="shared" si="65"/>
        <v>-1.08</v>
      </c>
      <c r="I513" s="89"/>
      <c r="J513" s="90"/>
      <c r="K513" s="157"/>
      <c r="L513" s="157"/>
      <c r="M513" s="158"/>
      <c r="O513" s="82">
        <f t="shared" si="61"/>
        <v>0</v>
      </c>
    </row>
    <row r="514" spans="1:15" ht="15.95" customHeight="1" x14ac:dyDescent="0.2">
      <c r="A514" s="30"/>
      <c r="B514" s="41" t="s">
        <v>481</v>
      </c>
      <c r="C514" s="41"/>
      <c r="D514" s="41">
        <v>-1</v>
      </c>
      <c r="E514" s="90">
        <v>0.9</v>
      </c>
      <c r="F514" s="90"/>
      <c r="G514" s="90">
        <v>2.2000000000000002</v>
      </c>
      <c r="H514" s="89">
        <f t="shared" si="65"/>
        <v>-1.9800000000000002</v>
      </c>
      <c r="I514" s="89"/>
      <c r="J514" s="108"/>
      <c r="K514" s="157"/>
      <c r="L514" s="157"/>
      <c r="M514" s="158"/>
      <c r="O514" s="82">
        <f t="shared" si="61"/>
        <v>0</v>
      </c>
    </row>
    <row r="515" spans="1:15" ht="15.95" customHeight="1" x14ac:dyDescent="0.2">
      <c r="A515" s="30"/>
      <c r="B515" s="41" t="s">
        <v>543</v>
      </c>
      <c r="C515" s="41"/>
      <c r="D515" s="41">
        <v>-1</v>
      </c>
      <c r="E515" s="90">
        <v>0.9</v>
      </c>
      <c r="F515" s="90"/>
      <c r="G515" s="90">
        <v>2.2000000000000002</v>
      </c>
      <c r="H515" s="89">
        <f t="shared" si="65"/>
        <v>-1.9800000000000002</v>
      </c>
      <c r="I515" s="89"/>
      <c r="J515" s="108"/>
      <c r="K515" s="157"/>
      <c r="L515" s="157"/>
      <c r="M515" s="158"/>
      <c r="O515" s="82">
        <f t="shared" si="61"/>
        <v>0</v>
      </c>
    </row>
    <row r="516" spans="1:15" s="5" customFormat="1" ht="16.149999999999999" customHeight="1" x14ac:dyDescent="0.2">
      <c r="A516" s="30"/>
      <c r="B516" s="44" t="s">
        <v>544</v>
      </c>
      <c r="C516" s="41"/>
      <c r="D516" s="41">
        <v>1</v>
      </c>
      <c r="E516" s="109">
        <f>1.7+1.66+0.9+1.76-0.2</f>
        <v>5.8199999999999994</v>
      </c>
      <c r="F516" s="109"/>
      <c r="G516" s="109">
        <f>3+0.1+0.25-0.45</f>
        <v>2.9</v>
      </c>
      <c r="H516" s="89">
        <f t="shared" si="65"/>
        <v>16.877999999999997</v>
      </c>
      <c r="I516" s="89"/>
      <c r="K516" s="157"/>
      <c r="L516" s="157"/>
      <c r="M516" s="158"/>
      <c r="O516" s="82">
        <f t="shared" si="61"/>
        <v>0</v>
      </c>
    </row>
    <row r="517" spans="1:15" ht="15.95" customHeight="1" x14ac:dyDescent="0.2">
      <c r="A517" s="30"/>
      <c r="B517" s="46"/>
      <c r="C517" s="41"/>
      <c r="D517" s="41">
        <v>1</v>
      </c>
      <c r="E517" s="90">
        <v>3.2</v>
      </c>
      <c r="F517" s="90"/>
      <c r="G517" s="109">
        <f>3+0.1+0.25-0.45</f>
        <v>2.9</v>
      </c>
      <c r="H517" s="89">
        <f t="shared" si="65"/>
        <v>9.2799999999999994</v>
      </c>
      <c r="I517" s="90"/>
      <c r="J517" s="90"/>
      <c r="K517" s="157"/>
      <c r="L517" s="157"/>
      <c r="M517" s="158"/>
      <c r="O517" s="82">
        <f t="shared" si="61"/>
        <v>0</v>
      </c>
    </row>
    <row r="518" spans="1:15" ht="15.95" customHeight="1" x14ac:dyDescent="0.2">
      <c r="A518" s="30"/>
      <c r="B518" s="46"/>
      <c r="C518" s="41"/>
      <c r="D518" s="41">
        <v>1</v>
      </c>
      <c r="E518" s="90">
        <v>0.6</v>
      </c>
      <c r="F518" s="90"/>
      <c r="G518" s="109">
        <f>3+0.1+0.25-0.45</f>
        <v>2.9</v>
      </c>
      <c r="H518" s="89">
        <f t="shared" si="65"/>
        <v>1.74</v>
      </c>
      <c r="I518" s="90"/>
      <c r="J518" s="90"/>
      <c r="K518" s="157"/>
      <c r="L518" s="157"/>
      <c r="M518" s="158"/>
      <c r="O518" s="82">
        <f t="shared" ref="O518:O581" si="66">K518-J518</f>
        <v>0</v>
      </c>
    </row>
    <row r="519" spans="1:15" s="5" customFormat="1" ht="16.149999999999999" customHeight="1" x14ac:dyDescent="0.2">
      <c r="A519" s="30"/>
      <c r="B519" s="110" t="s">
        <v>480</v>
      </c>
      <c r="C519" s="41"/>
      <c r="D519" s="41"/>
      <c r="E519" s="109"/>
      <c r="F519" s="109"/>
      <c r="G519" s="109"/>
      <c r="H519" s="89">
        <f t="shared" si="65"/>
        <v>0</v>
      </c>
      <c r="I519" s="89"/>
      <c r="K519" s="157"/>
      <c r="L519" s="157"/>
      <c r="M519" s="158"/>
      <c r="O519" s="82">
        <f t="shared" si="66"/>
        <v>0</v>
      </c>
    </row>
    <row r="520" spans="1:15" ht="15.95" customHeight="1" x14ac:dyDescent="0.2">
      <c r="A520" s="30"/>
      <c r="B520" s="41" t="s">
        <v>424</v>
      </c>
      <c r="C520" s="41"/>
      <c r="D520" s="41">
        <v>-2</v>
      </c>
      <c r="E520" s="90">
        <v>0.9</v>
      </c>
      <c r="F520" s="90"/>
      <c r="G520" s="90">
        <v>1.2</v>
      </c>
      <c r="H520" s="89">
        <f t="shared" si="65"/>
        <v>-2.16</v>
      </c>
      <c r="I520" s="89"/>
      <c r="J520" s="90"/>
      <c r="K520" s="157"/>
      <c r="L520" s="157"/>
      <c r="M520" s="158"/>
      <c r="O520" s="82">
        <f t="shared" si="66"/>
        <v>0</v>
      </c>
    </row>
    <row r="521" spans="1:15" ht="15.95" customHeight="1" x14ac:dyDescent="0.2">
      <c r="A521" s="30"/>
      <c r="B521" s="41" t="s">
        <v>481</v>
      </c>
      <c r="C521" s="41"/>
      <c r="D521" s="41">
        <v>-1</v>
      </c>
      <c r="E521" s="90">
        <v>1.2</v>
      </c>
      <c r="F521" s="90"/>
      <c r="G521" s="90">
        <v>2.2000000000000002</v>
      </c>
      <c r="H521" s="89">
        <f t="shared" si="65"/>
        <v>-2.64</v>
      </c>
      <c r="I521" s="89"/>
      <c r="J521" s="108"/>
      <c r="K521" s="157"/>
      <c r="L521" s="157"/>
      <c r="M521" s="158"/>
      <c r="O521" s="82">
        <f t="shared" si="66"/>
        <v>0</v>
      </c>
    </row>
    <row r="522" spans="1:15" s="5" customFormat="1" ht="16.149999999999999" customHeight="1" x14ac:dyDescent="0.2">
      <c r="A522" s="30"/>
      <c r="B522" s="44" t="s">
        <v>545</v>
      </c>
      <c r="C522" s="41"/>
      <c r="D522" s="41">
        <v>1</v>
      </c>
      <c r="E522" s="109">
        <v>2.64</v>
      </c>
      <c r="F522" s="109"/>
      <c r="G522" s="109">
        <f>3+0.1+0.25-0.45</f>
        <v>2.9</v>
      </c>
      <c r="H522" s="89">
        <f t="shared" si="65"/>
        <v>7.6559999999999997</v>
      </c>
      <c r="I522" s="89"/>
      <c r="K522" s="157"/>
      <c r="L522" s="157"/>
      <c r="M522" s="158"/>
      <c r="O522" s="82">
        <f t="shared" si="66"/>
        <v>0</v>
      </c>
    </row>
    <row r="523" spans="1:15" ht="15.95" customHeight="1" x14ac:dyDescent="0.2">
      <c r="A523" s="30"/>
      <c r="B523" s="46"/>
      <c r="C523" s="41"/>
      <c r="D523" s="41">
        <v>1</v>
      </c>
      <c r="E523" s="90">
        <v>1.85</v>
      </c>
      <c r="F523" s="90"/>
      <c r="G523" s="109">
        <f>3+0.1+0.25-0.45</f>
        <v>2.9</v>
      </c>
      <c r="H523" s="89">
        <f t="shared" si="65"/>
        <v>5.3650000000000002</v>
      </c>
      <c r="I523" s="90"/>
      <c r="J523" s="90"/>
      <c r="K523" s="157"/>
      <c r="L523" s="157"/>
      <c r="M523" s="158"/>
      <c r="O523" s="82">
        <f t="shared" si="66"/>
        <v>0</v>
      </c>
    </row>
    <row r="524" spans="1:15" ht="15.95" customHeight="1" x14ac:dyDescent="0.2">
      <c r="A524" s="30"/>
      <c r="B524" s="46"/>
      <c r="C524" s="41"/>
      <c r="D524" s="41">
        <v>1</v>
      </c>
      <c r="E524" s="90">
        <v>0.95</v>
      </c>
      <c r="F524" s="90"/>
      <c r="G524" s="109">
        <f>3+0.1+0.25-0.45</f>
        <v>2.9</v>
      </c>
      <c r="H524" s="89">
        <f t="shared" si="65"/>
        <v>2.7549999999999999</v>
      </c>
      <c r="I524" s="90"/>
      <c r="J524" s="90"/>
      <c r="K524" s="157"/>
      <c r="L524" s="157"/>
      <c r="M524" s="158"/>
      <c r="O524" s="82">
        <f t="shared" si="66"/>
        <v>0</v>
      </c>
    </row>
    <row r="525" spans="1:15" s="5" customFormat="1" ht="16.149999999999999" customHeight="1" x14ac:dyDescent="0.2">
      <c r="A525" s="30"/>
      <c r="B525" s="110" t="s">
        <v>480</v>
      </c>
      <c r="C525" s="41"/>
      <c r="D525" s="41"/>
      <c r="E525" s="109"/>
      <c r="F525" s="109"/>
      <c r="G525" s="109"/>
      <c r="H525" s="89">
        <f t="shared" si="65"/>
        <v>0</v>
      </c>
      <c r="I525" s="90"/>
      <c r="J525" s="90"/>
      <c r="K525" s="157"/>
      <c r="L525" s="157"/>
      <c r="M525" s="158"/>
      <c r="O525" s="82">
        <f t="shared" si="66"/>
        <v>0</v>
      </c>
    </row>
    <row r="526" spans="1:15" ht="15.95" customHeight="1" x14ac:dyDescent="0.2">
      <c r="A526" s="30"/>
      <c r="B526" s="41" t="s">
        <v>424</v>
      </c>
      <c r="C526" s="41"/>
      <c r="D526" s="41">
        <v>-1</v>
      </c>
      <c r="E526" s="90">
        <v>0.9</v>
      </c>
      <c r="F526" s="90"/>
      <c r="G526" s="90">
        <v>0.5</v>
      </c>
      <c r="H526" s="89">
        <f t="shared" si="65"/>
        <v>-0.45</v>
      </c>
      <c r="I526" s="90"/>
      <c r="J526" s="90"/>
      <c r="K526" s="157"/>
      <c r="L526" s="157"/>
      <c r="M526" s="158"/>
      <c r="O526" s="82">
        <f t="shared" si="66"/>
        <v>0</v>
      </c>
    </row>
    <row r="527" spans="1:15" s="5" customFormat="1" ht="16.149999999999999" customHeight="1" x14ac:dyDescent="0.2">
      <c r="A527" s="30"/>
      <c r="B527" s="44" t="s">
        <v>546</v>
      </c>
      <c r="C527" s="41"/>
      <c r="D527" s="41">
        <v>2</v>
      </c>
      <c r="E527" s="109">
        <v>4.1500000000000004</v>
      </c>
      <c r="F527" s="109"/>
      <c r="G527" s="109">
        <f>3+0.1+0.25-0.45</f>
        <v>2.9</v>
      </c>
      <c r="H527" s="89">
        <f t="shared" si="65"/>
        <v>24.07</v>
      </c>
      <c r="I527" s="89"/>
      <c r="K527" s="157"/>
      <c r="L527" s="157"/>
      <c r="M527" s="158"/>
      <c r="O527" s="82">
        <f t="shared" si="66"/>
        <v>0</v>
      </c>
    </row>
    <row r="528" spans="1:15" ht="15.95" customHeight="1" x14ac:dyDescent="0.2">
      <c r="A528" s="30"/>
      <c r="B528" s="46"/>
      <c r="C528" s="41"/>
      <c r="D528" s="41">
        <v>1</v>
      </c>
      <c r="E528" s="90">
        <v>3.5</v>
      </c>
      <c r="F528" s="90"/>
      <c r="G528" s="109">
        <f>3+0.1+0.25-0.45</f>
        <v>2.9</v>
      </c>
      <c r="H528" s="89">
        <f t="shared" si="65"/>
        <v>10.15</v>
      </c>
      <c r="I528" s="90"/>
      <c r="J528" s="90"/>
      <c r="K528" s="157"/>
      <c r="L528" s="157"/>
      <c r="M528" s="158"/>
      <c r="O528" s="82">
        <f t="shared" si="66"/>
        <v>0</v>
      </c>
    </row>
    <row r="529" spans="1:15" ht="15.95" customHeight="1" x14ac:dyDescent="0.2">
      <c r="A529" s="30"/>
      <c r="B529" s="46"/>
      <c r="C529" s="41"/>
      <c r="D529" s="41">
        <v>2</v>
      </c>
      <c r="E529" s="90">
        <v>1.25</v>
      </c>
      <c r="F529" s="90"/>
      <c r="G529" s="109">
        <f>3+0.1+0.25-0.45</f>
        <v>2.9</v>
      </c>
      <c r="H529" s="89">
        <f t="shared" si="65"/>
        <v>7.25</v>
      </c>
      <c r="I529" s="90"/>
      <c r="J529" s="90"/>
      <c r="K529" s="157"/>
      <c r="L529" s="157"/>
      <c r="M529" s="158"/>
      <c r="O529" s="82">
        <f t="shared" si="66"/>
        <v>0</v>
      </c>
    </row>
    <row r="530" spans="1:15" s="5" customFormat="1" ht="16.149999999999999" customHeight="1" x14ac:dyDescent="0.2">
      <c r="A530" s="30"/>
      <c r="B530" s="110" t="s">
        <v>480</v>
      </c>
      <c r="C530" s="41"/>
      <c r="D530" s="41"/>
      <c r="E530" s="109"/>
      <c r="F530" s="109"/>
      <c r="G530" s="109"/>
      <c r="H530" s="89">
        <f t="shared" si="65"/>
        <v>0</v>
      </c>
      <c r="I530" s="90"/>
      <c r="J530" s="90"/>
      <c r="K530" s="157"/>
      <c r="L530" s="157"/>
      <c r="M530" s="158"/>
      <c r="O530" s="82">
        <f t="shared" si="66"/>
        <v>0</v>
      </c>
    </row>
    <row r="531" spans="1:15" ht="15.95" customHeight="1" x14ac:dyDescent="0.2">
      <c r="A531" s="30"/>
      <c r="B531" s="41" t="s">
        <v>424</v>
      </c>
      <c r="C531" s="41"/>
      <c r="D531" s="41">
        <v>-1</v>
      </c>
      <c r="E531" s="90">
        <v>0.9</v>
      </c>
      <c r="F531" s="90"/>
      <c r="G531" s="90">
        <v>0.5</v>
      </c>
      <c r="H531" s="89">
        <f t="shared" si="65"/>
        <v>-0.45</v>
      </c>
      <c r="I531" s="90"/>
      <c r="J531" s="90"/>
      <c r="K531" s="157"/>
      <c r="L531" s="157"/>
      <c r="M531" s="158"/>
      <c r="O531" s="82">
        <f t="shared" si="66"/>
        <v>0</v>
      </c>
    </row>
    <row r="532" spans="1:15" ht="15.95" customHeight="1" x14ac:dyDescent="0.2">
      <c r="A532" s="30"/>
      <c r="B532" s="41"/>
      <c r="C532" s="41"/>
      <c r="D532" s="41"/>
      <c r="E532" s="90"/>
      <c r="F532" s="90"/>
      <c r="G532" s="90"/>
      <c r="H532" s="89"/>
      <c r="I532" s="89">
        <f>SUM(H496:H531)</f>
        <v>171.84400000000002</v>
      </c>
      <c r="J532" s="108"/>
      <c r="K532" s="157"/>
      <c r="L532" s="157"/>
      <c r="M532" s="158"/>
      <c r="O532" s="82">
        <f t="shared" si="66"/>
        <v>0</v>
      </c>
    </row>
    <row r="533" spans="1:15" ht="15.95" customHeight="1" x14ac:dyDescent="0.2">
      <c r="A533" s="30"/>
      <c r="B533" s="46"/>
      <c r="C533" s="41"/>
      <c r="D533" s="41"/>
      <c r="E533" s="90"/>
      <c r="F533" s="90"/>
      <c r="G533" s="90"/>
      <c r="H533" s="89"/>
      <c r="I533" s="89">
        <f t="shared" ref="I533" si="67">PRODUCT(E533:H533)</f>
        <v>0</v>
      </c>
      <c r="J533" s="90"/>
      <c r="K533" s="157"/>
      <c r="L533" s="157"/>
      <c r="M533" s="158"/>
      <c r="O533" s="82">
        <f t="shared" si="66"/>
        <v>0</v>
      </c>
    </row>
    <row r="534" spans="1:15" s="5" customFormat="1" ht="16.149999999999999" customHeight="1" x14ac:dyDescent="0.2">
      <c r="A534" s="30"/>
      <c r="B534" s="98" t="s">
        <v>466</v>
      </c>
      <c r="C534" s="32"/>
      <c r="D534" s="32"/>
      <c r="E534" s="89"/>
      <c r="F534" s="89"/>
      <c r="G534" s="89"/>
      <c r="H534" s="89">
        <f t="shared" ref="H534:H540" si="68">PRODUCT(D534:G534)</f>
        <v>0</v>
      </c>
      <c r="I534" s="89"/>
      <c r="J534" s="89"/>
      <c r="K534" s="157"/>
      <c r="L534" s="157"/>
      <c r="M534" s="158"/>
      <c r="O534" s="82">
        <f t="shared" si="66"/>
        <v>0</v>
      </c>
    </row>
    <row r="535" spans="1:15" ht="15.95" customHeight="1" x14ac:dyDescent="0.2">
      <c r="A535" s="30"/>
      <c r="B535" s="46"/>
      <c r="C535" s="41"/>
      <c r="D535" s="41">
        <v>2</v>
      </c>
      <c r="E535" s="90">
        <f>6+1.4*2-0.25*2</f>
        <v>8.3000000000000007</v>
      </c>
      <c r="F535" s="90"/>
      <c r="G535" s="109">
        <f t="shared" ref="G535:G537" si="69">3+0.1+0.25-0.45</f>
        <v>2.9</v>
      </c>
      <c r="H535" s="89">
        <f t="shared" si="68"/>
        <v>48.14</v>
      </c>
      <c r="I535" s="90"/>
      <c r="J535" s="90"/>
      <c r="K535" s="157"/>
      <c r="L535" s="157"/>
      <c r="M535" s="158"/>
      <c r="O535" s="82">
        <f t="shared" si="66"/>
        <v>0</v>
      </c>
    </row>
    <row r="536" spans="1:15" ht="15.95" customHeight="1" x14ac:dyDescent="0.2">
      <c r="A536" s="30"/>
      <c r="B536" s="46"/>
      <c r="C536" s="41"/>
      <c r="D536" s="41">
        <v>2</v>
      </c>
      <c r="E536" s="90">
        <f>9.8-0.25*2</f>
        <v>9.3000000000000007</v>
      </c>
      <c r="F536" s="90"/>
      <c r="G536" s="109">
        <f t="shared" si="69"/>
        <v>2.9</v>
      </c>
      <c r="H536" s="89">
        <f t="shared" si="68"/>
        <v>53.940000000000005</v>
      </c>
      <c r="I536" s="90"/>
      <c r="J536" s="90"/>
      <c r="K536" s="157"/>
      <c r="L536" s="157"/>
      <c r="M536" s="158"/>
      <c r="O536" s="82">
        <f t="shared" si="66"/>
        <v>0</v>
      </c>
    </row>
    <row r="537" spans="1:15" ht="15.95" customHeight="1" x14ac:dyDescent="0.2">
      <c r="A537" s="30"/>
      <c r="B537" s="46"/>
      <c r="C537" s="41"/>
      <c r="D537" s="41">
        <v>2</v>
      </c>
      <c r="E537" s="90">
        <v>2</v>
      </c>
      <c r="F537" s="90"/>
      <c r="G537" s="109">
        <f t="shared" si="69"/>
        <v>2.9</v>
      </c>
      <c r="H537" s="89">
        <f t="shared" si="68"/>
        <v>11.6</v>
      </c>
      <c r="I537" s="90"/>
      <c r="J537" s="90"/>
      <c r="K537" s="157"/>
      <c r="L537" s="157"/>
      <c r="M537" s="158"/>
      <c r="O537" s="82">
        <f t="shared" si="66"/>
        <v>0</v>
      </c>
    </row>
    <row r="538" spans="1:15" s="5" customFormat="1" ht="16.149999999999999" customHeight="1" x14ac:dyDescent="0.2">
      <c r="A538" s="30"/>
      <c r="B538" s="110" t="s">
        <v>480</v>
      </c>
      <c r="C538" s="41"/>
      <c r="D538" s="41"/>
      <c r="E538" s="109"/>
      <c r="F538" s="109"/>
      <c r="G538" s="109"/>
      <c r="H538" s="89">
        <f t="shared" si="68"/>
        <v>0</v>
      </c>
      <c r="I538" s="89"/>
      <c r="K538" s="157"/>
      <c r="L538" s="157"/>
      <c r="M538" s="158"/>
      <c r="O538" s="82">
        <f t="shared" si="66"/>
        <v>0</v>
      </c>
    </row>
    <row r="539" spans="1:15" ht="15.95" customHeight="1" x14ac:dyDescent="0.2">
      <c r="A539" s="30"/>
      <c r="B539" s="41" t="s">
        <v>424</v>
      </c>
      <c r="C539" s="41"/>
      <c r="D539" s="41">
        <v>-8</v>
      </c>
      <c r="E539" s="90">
        <v>0.9</v>
      </c>
      <c r="F539" s="90"/>
      <c r="G539" s="90">
        <v>0.6</v>
      </c>
      <c r="H539" s="89">
        <f t="shared" si="68"/>
        <v>-4.32</v>
      </c>
      <c r="I539" s="89"/>
      <c r="J539" s="90"/>
      <c r="K539" s="157"/>
      <c r="L539" s="157"/>
      <c r="M539" s="158"/>
      <c r="O539" s="82">
        <f t="shared" si="66"/>
        <v>0</v>
      </c>
    </row>
    <row r="540" spans="1:15" ht="15.95" customHeight="1" x14ac:dyDescent="0.2">
      <c r="A540" s="30"/>
      <c r="B540" s="41" t="s">
        <v>481</v>
      </c>
      <c r="C540" s="41"/>
      <c r="D540" s="41">
        <v>-4</v>
      </c>
      <c r="E540" s="90">
        <v>1.2</v>
      </c>
      <c r="F540" s="90"/>
      <c r="G540" s="90">
        <v>2.2000000000000002</v>
      </c>
      <c r="H540" s="89">
        <f t="shared" si="68"/>
        <v>-10.56</v>
      </c>
      <c r="I540" s="89"/>
      <c r="J540" s="108"/>
      <c r="K540" s="157"/>
      <c r="L540" s="157"/>
      <c r="M540" s="158"/>
      <c r="O540" s="82">
        <f t="shared" si="66"/>
        <v>0</v>
      </c>
    </row>
    <row r="541" spans="1:15" ht="15.95" customHeight="1" x14ac:dyDescent="0.2">
      <c r="A541" s="30"/>
      <c r="B541" s="46"/>
      <c r="C541" s="41"/>
      <c r="D541" s="41"/>
      <c r="E541" s="90"/>
      <c r="F541" s="90"/>
      <c r="G541" s="90"/>
      <c r="H541" s="89"/>
      <c r="I541" s="90">
        <f>SUM(H535:H541)</f>
        <v>98.800000000000011</v>
      </c>
      <c r="J541" s="90"/>
      <c r="K541" s="157"/>
      <c r="L541" s="157"/>
      <c r="M541" s="158"/>
      <c r="O541" s="82">
        <f t="shared" si="66"/>
        <v>0</v>
      </c>
    </row>
    <row r="542" spans="1:15" s="5" customFormat="1" ht="16.149999999999999" customHeight="1" x14ac:dyDescent="0.2">
      <c r="A542" s="30"/>
      <c r="B542" s="98" t="s">
        <v>467</v>
      </c>
      <c r="C542" s="32"/>
      <c r="D542" s="32"/>
      <c r="E542" s="89"/>
      <c r="F542" s="89"/>
      <c r="G542" s="89"/>
      <c r="H542" s="89">
        <f t="shared" ref="H542:H547" si="70">PRODUCT(D542:G542)</f>
        <v>0</v>
      </c>
      <c r="I542" s="89"/>
      <c r="J542" s="89"/>
      <c r="K542" s="157"/>
      <c r="L542" s="157"/>
      <c r="M542" s="158"/>
      <c r="O542" s="82">
        <f t="shared" si="66"/>
        <v>0</v>
      </c>
    </row>
    <row r="543" spans="1:15" ht="15.95" customHeight="1" x14ac:dyDescent="0.2">
      <c r="A543" s="30"/>
      <c r="B543" s="46"/>
      <c r="C543" s="41"/>
      <c r="D543" s="41">
        <v>2</v>
      </c>
      <c r="E543" s="90">
        <f>2.4-0.25*2</f>
        <v>1.9</v>
      </c>
      <c r="F543" s="90"/>
      <c r="G543" s="109">
        <f t="shared" ref="G543:G544" si="71">3+0.1+0.25-0.45</f>
        <v>2.9</v>
      </c>
      <c r="H543" s="89">
        <f t="shared" si="70"/>
        <v>11.02</v>
      </c>
      <c r="I543" s="90"/>
      <c r="J543" s="90"/>
      <c r="K543" s="157"/>
      <c r="L543" s="157"/>
      <c r="M543" s="158"/>
      <c r="O543" s="82">
        <f t="shared" si="66"/>
        <v>0</v>
      </c>
    </row>
    <row r="544" spans="1:15" ht="15.95" customHeight="1" x14ac:dyDescent="0.2">
      <c r="A544" s="30"/>
      <c r="B544" s="46"/>
      <c r="C544" s="41"/>
      <c r="D544" s="41">
        <v>2</v>
      </c>
      <c r="E544" s="90">
        <f>3.4-0.2*2</f>
        <v>3</v>
      </c>
      <c r="F544" s="90"/>
      <c r="G544" s="109">
        <f t="shared" si="71"/>
        <v>2.9</v>
      </c>
      <c r="H544" s="89">
        <f t="shared" si="70"/>
        <v>17.399999999999999</v>
      </c>
      <c r="I544" s="90"/>
      <c r="J544" s="108"/>
      <c r="K544" s="157"/>
      <c r="L544" s="157"/>
      <c r="M544" s="158"/>
      <c r="O544" s="82">
        <f t="shared" si="66"/>
        <v>0</v>
      </c>
    </row>
    <row r="545" spans="1:15" s="5" customFormat="1" ht="16.149999999999999" customHeight="1" x14ac:dyDescent="0.2">
      <c r="A545" s="30"/>
      <c r="B545" s="110" t="s">
        <v>480</v>
      </c>
      <c r="C545" s="41"/>
      <c r="D545" s="41"/>
      <c r="E545" s="109"/>
      <c r="F545" s="109"/>
      <c r="G545" s="109"/>
      <c r="H545" s="89">
        <f t="shared" si="70"/>
        <v>0</v>
      </c>
      <c r="I545" s="89"/>
      <c r="K545" s="157"/>
      <c r="L545" s="157"/>
      <c r="M545" s="158"/>
      <c r="O545" s="82">
        <f t="shared" si="66"/>
        <v>0</v>
      </c>
    </row>
    <row r="546" spans="1:15" ht="15.95" customHeight="1" x14ac:dyDescent="0.2">
      <c r="A546" s="30"/>
      <c r="B546" s="41" t="s">
        <v>424</v>
      </c>
      <c r="C546" s="41"/>
      <c r="D546" s="41">
        <v>-2</v>
      </c>
      <c r="E546" s="90">
        <v>0.9</v>
      </c>
      <c r="F546" s="90"/>
      <c r="G546" s="90">
        <v>1.2</v>
      </c>
      <c r="H546" s="89">
        <f t="shared" si="70"/>
        <v>-2.16</v>
      </c>
      <c r="I546" s="89"/>
      <c r="J546" s="90"/>
      <c r="K546" s="157"/>
      <c r="L546" s="157"/>
      <c r="M546" s="158"/>
      <c r="O546" s="82">
        <f t="shared" si="66"/>
        <v>0</v>
      </c>
    </row>
    <row r="547" spans="1:15" ht="15.95" customHeight="1" x14ac:dyDescent="0.2">
      <c r="A547" s="30"/>
      <c r="B547" s="41" t="s">
        <v>481</v>
      </c>
      <c r="C547" s="41"/>
      <c r="D547" s="41">
        <v>-1</v>
      </c>
      <c r="E547" s="90">
        <v>0.9</v>
      </c>
      <c r="F547" s="90"/>
      <c r="G547" s="90">
        <v>2.2000000000000002</v>
      </c>
      <c r="H547" s="89">
        <f t="shared" si="70"/>
        <v>-1.9800000000000002</v>
      </c>
      <c r="I547" s="89"/>
      <c r="J547" s="108"/>
      <c r="K547" s="157"/>
      <c r="L547" s="157"/>
      <c r="M547" s="158"/>
      <c r="O547" s="82">
        <f t="shared" si="66"/>
        <v>0</v>
      </c>
    </row>
    <row r="548" spans="1:15" ht="15.95" customHeight="1" x14ac:dyDescent="0.2">
      <c r="A548" s="40"/>
      <c r="B548" s="46"/>
      <c r="C548" s="41"/>
      <c r="D548" s="41"/>
      <c r="E548" s="90"/>
      <c r="F548" s="90"/>
      <c r="G548" s="90"/>
      <c r="H548" s="90"/>
      <c r="I548" s="90">
        <f>SUM(H543:H547)</f>
        <v>24.279999999999998</v>
      </c>
      <c r="J548" s="90"/>
      <c r="K548" s="163"/>
      <c r="L548" s="163"/>
      <c r="M548" s="158"/>
      <c r="O548" s="82">
        <f t="shared" si="66"/>
        <v>0</v>
      </c>
    </row>
    <row r="549" spans="1:15" ht="15.95" customHeight="1" x14ac:dyDescent="0.2">
      <c r="A549" s="40"/>
      <c r="B549" s="46"/>
      <c r="C549" s="41"/>
      <c r="D549" s="41"/>
      <c r="E549" s="90"/>
      <c r="F549" s="90"/>
      <c r="G549" s="90"/>
      <c r="H549" s="90"/>
      <c r="I549" s="90"/>
      <c r="J549" s="90"/>
      <c r="K549" s="163"/>
      <c r="L549" s="163"/>
      <c r="M549" s="158"/>
      <c r="O549" s="82">
        <f t="shared" si="66"/>
        <v>0</v>
      </c>
    </row>
    <row r="550" spans="1:15" ht="15.75" customHeight="1" x14ac:dyDescent="0.2">
      <c r="A550" s="40" t="s">
        <v>172</v>
      </c>
      <c r="B550" s="46" t="s">
        <v>82</v>
      </c>
      <c r="C550" s="41" t="s">
        <v>4</v>
      </c>
      <c r="D550" s="41"/>
      <c r="E550" s="90"/>
      <c r="F550" s="90"/>
      <c r="G550" s="90"/>
      <c r="H550" s="90"/>
      <c r="I550" s="90"/>
      <c r="J550" s="90">
        <f>SUM(I552:I578)</f>
        <v>127.79499999999999</v>
      </c>
      <c r="K550" s="163">
        <v>130</v>
      </c>
      <c r="L550" s="163">
        <v>90</v>
      </c>
      <c r="M550" s="158">
        <f t="shared" si="55"/>
        <v>11700</v>
      </c>
      <c r="O550" s="82">
        <f t="shared" si="66"/>
        <v>2.2050000000000125</v>
      </c>
    </row>
    <row r="551" spans="1:15" s="5" customFormat="1" ht="16.149999999999999" customHeight="1" x14ac:dyDescent="0.2">
      <c r="A551" s="30"/>
      <c r="B551" s="98" t="s">
        <v>464</v>
      </c>
      <c r="C551" s="32"/>
      <c r="D551" s="32"/>
      <c r="E551" s="89"/>
      <c r="F551" s="89"/>
      <c r="G551" s="89"/>
      <c r="H551" s="89"/>
      <c r="I551" s="89"/>
      <c r="K551" s="157"/>
      <c r="L551" s="157"/>
      <c r="M551" s="158"/>
      <c r="O551" s="82">
        <f t="shared" si="66"/>
        <v>0</v>
      </c>
    </row>
    <row r="552" spans="1:15" s="5" customFormat="1" ht="16.149999999999999" customHeight="1" x14ac:dyDescent="0.2">
      <c r="A552" s="30"/>
      <c r="B552" s="44" t="s">
        <v>482</v>
      </c>
      <c r="C552" s="41"/>
      <c r="D552" s="41">
        <v>9</v>
      </c>
      <c r="E552" s="109">
        <v>0.6</v>
      </c>
      <c r="F552" s="109"/>
      <c r="G552" s="109">
        <v>3.1</v>
      </c>
      <c r="H552" s="89">
        <f>PRODUCT(D552:G552)</f>
        <v>16.739999999999998</v>
      </c>
      <c r="I552" s="89"/>
      <c r="K552" s="157"/>
      <c r="L552" s="157"/>
      <c r="M552" s="158"/>
      <c r="O552" s="82">
        <f t="shared" si="66"/>
        <v>0</v>
      </c>
    </row>
    <row r="553" spans="1:15" s="5" customFormat="1" ht="16.149999999999999" customHeight="1" x14ac:dyDescent="0.2">
      <c r="A553" s="30"/>
      <c r="B553" s="44"/>
      <c r="C553" s="41"/>
      <c r="D553" s="41"/>
      <c r="E553" s="109"/>
      <c r="F553" s="109"/>
      <c r="G553" s="109"/>
      <c r="H553" s="89"/>
      <c r="I553" s="89">
        <f>SUM(H552:H553)</f>
        <v>16.739999999999998</v>
      </c>
      <c r="K553" s="157"/>
      <c r="L553" s="157"/>
      <c r="M553" s="158"/>
      <c r="O553" s="82">
        <f t="shared" si="66"/>
        <v>0</v>
      </c>
    </row>
    <row r="554" spans="1:15" s="5" customFormat="1" ht="16.149999999999999" customHeight="1" x14ac:dyDescent="0.2">
      <c r="A554" s="30"/>
      <c r="B554" s="44"/>
      <c r="C554" s="41"/>
      <c r="D554" s="41"/>
      <c r="E554" s="109"/>
      <c r="F554" s="109"/>
      <c r="G554" s="109"/>
      <c r="H554" s="89"/>
      <c r="I554" s="89"/>
      <c r="K554" s="157"/>
      <c r="L554" s="157"/>
      <c r="M554" s="158"/>
      <c r="O554" s="82">
        <f t="shared" si="66"/>
        <v>0</v>
      </c>
    </row>
    <row r="555" spans="1:15" s="5" customFormat="1" ht="16.149999999999999" customHeight="1" x14ac:dyDescent="0.2">
      <c r="A555" s="30"/>
      <c r="B555" s="98" t="s">
        <v>465</v>
      </c>
      <c r="C555" s="32"/>
      <c r="D555" s="32"/>
      <c r="E555" s="89"/>
      <c r="F555" s="89"/>
      <c r="G555" s="89"/>
      <c r="H555" s="89">
        <f t="shared" ref="H555:H558" si="72">PRODUCT(D555:G555)</f>
        <v>0</v>
      </c>
      <c r="I555" s="89"/>
      <c r="J555" s="89"/>
      <c r="K555" s="157"/>
      <c r="L555" s="157"/>
      <c r="M555" s="158"/>
      <c r="O555" s="82">
        <f t="shared" si="66"/>
        <v>0</v>
      </c>
    </row>
    <row r="556" spans="1:15" s="5" customFormat="1" ht="16.149999999999999" customHeight="1" x14ac:dyDescent="0.2">
      <c r="A556" s="30"/>
      <c r="B556" s="44" t="s">
        <v>485</v>
      </c>
      <c r="C556" s="41"/>
      <c r="D556" s="41">
        <v>1</v>
      </c>
      <c r="E556" s="109">
        <v>0.6</v>
      </c>
      <c r="F556" s="109"/>
      <c r="G556" s="109">
        <v>3.1</v>
      </c>
      <c r="H556" s="89">
        <f t="shared" si="72"/>
        <v>1.8599999999999999</v>
      </c>
      <c r="I556" s="89"/>
      <c r="K556" s="157"/>
      <c r="L556" s="157"/>
      <c r="M556" s="158"/>
      <c r="O556" s="82">
        <f t="shared" si="66"/>
        <v>0</v>
      </c>
    </row>
    <row r="557" spans="1:15" s="5" customFormat="1" ht="16.149999999999999" customHeight="1" x14ac:dyDescent="0.2">
      <c r="A557" s="30"/>
      <c r="B557" s="44" t="s">
        <v>479</v>
      </c>
      <c r="C557" s="41"/>
      <c r="D557" s="41">
        <v>1</v>
      </c>
      <c r="E557" s="109">
        <v>0.6</v>
      </c>
      <c r="F557" s="109"/>
      <c r="G557" s="109">
        <v>3.1</v>
      </c>
      <c r="H557" s="89">
        <f t="shared" si="72"/>
        <v>1.8599999999999999</v>
      </c>
      <c r="I557" s="89"/>
      <c r="K557" s="157"/>
      <c r="L557" s="157"/>
      <c r="M557" s="158"/>
      <c r="O557" s="82">
        <f t="shared" si="66"/>
        <v>0</v>
      </c>
    </row>
    <row r="558" spans="1:15" s="5" customFormat="1" ht="16.149999999999999" customHeight="1" x14ac:dyDescent="0.2">
      <c r="A558" s="30"/>
      <c r="B558" s="44" t="s">
        <v>491</v>
      </c>
      <c r="C558" s="41"/>
      <c r="D558" s="41">
        <v>1</v>
      </c>
      <c r="E558" s="109">
        <v>1.9</v>
      </c>
      <c r="F558" s="109"/>
      <c r="G558" s="109">
        <v>3.1</v>
      </c>
      <c r="H558" s="89">
        <f t="shared" si="72"/>
        <v>5.89</v>
      </c>
      <c r="I558" s="89"/>
      <c r="K558" s="157"/>
      <c r="L558" s="157"/>
      <c r="M558" s="158"/>
      <c r="O558" s="82">
        <f t="shared" si="66"/>
        <v>0</v>
      </c>
    </row>
    <row r="559" spans="1:15" ht="15.75" customHeight="1" x14ac:dyDescent="0.2">
      <c r="A559" s="40"/>
      <c r="B559" s="46"/>
      <c r="C559" s="41"/>
      <c r="D559" s="41"/>
      <c r="E559" s="90"/>
      <c r="F559" s="90"/>
      <c r="G559" s="90"/>
      <c r="H559" s="90"/>
      <c r="I559" s="90">
        <f>SUM(H556:H558)</f>
        <v>9.61</v>
      </c>
      <c r="J559" s="90"/>
      <c r="K559" s="163"/>
      <c r="L559" s="163"/>
      <c r="M559" s="158"/>
      <c r="O559" s="82">
        <f t="shared" si="66"/>
        <v>0</v>
      </c>
    </row>
    <row r="560" spans="1:15" s="5" customFormat="1" ht="16.149999999999999" customHeight="1" x14ac:dyDescent="0.2">
      <c r="A560" s="30"/>
      <c r="B560" s="98" t="s">
        <v>530</v>
      </c>
      <c r="C560" s="32"/>
      <c r="D560" s="32"/>
      <c r="E560" s="89"/>
      <c r="F560" s="89"/>
      <c r="G560" s="89"/>
      <c r="H560" s="89">
        <f t="shared" ref="H560:H570" si="73">PRODUCT(D560:G560)</f>
        <v>0</v>
      </c>
      <c r="I560" s="89"/>
      <c r="J560" s="89"/>
      <c r="K560" s="157"/>
      <c r="L560" s="157"/>
      <c r="M560" s="158"/>
      <c r="O560" s="82">
        <f t="shared" si="66"/>
        <v>0</v>
      </c>
    </row>
    <row r="561" spans="1:15" s="5" customFormat="1" ht="16.149999999999999" customHeight="1" x14ac:dyDescent="0.2">
      <c r="A561" s="30"/>
      <c r="B561" s="44" t="s">
        <v>540</v>
      </c>
      <c r="C561" s="41"/>
      <c r="D561" s="41">
        <v>1</v>
      </c>
      <c r="E561" s="109">
        <v>0.6</v>
      </c>
      <c r="F561" s="109"/>
      <c r="G561" s="109">
        <v>3.1</v>
      </c>
      <c r="H561" s="89">
        <f t="shared" si="73"/>
        <v>1.8599999999999999</v>
      </c>
      <c r="I561" s="89"/>
      <c r="K561" s="157"/>
      <c r="L561" s="157"/>
      <c r="M561" s="158"/>
      <c r="O561" s="82">
        <f t="shared" si="66"/>
        <v>0</v>
      </c>
    </row>
    <row r="562" spans="1:15" s="5" customFormat="1" ht="16.149999999999999" customHeight="1" x14ac:dyDescent="0.2">
      <c r="A562" s="30"/>
      <c r="B562" s="44" t="s">
        <v>541</v>
      </c>
      <c r="C562" s="41"/>
      <c r="D562" s="41">
        <v>1</v>
      </c>
      <c r="E562" s="109">
        <v>1.6</v>
      </c>
      <c r="F562" s="109"/>
      <c r="G562" s="109">
        <v>3.1</v>
      </c>
      <c r="H562" s="89">
        <f t="shared" si="73"/>
        <v>4.9600000000000009</v>
      </c>
      <c r="I562" s="89"/>
      <c r="K562" s="157"/>
      <c r="L562" s="157"/>
      <c r="M562" s="158"/>
      <c r="O562" s="82">
        <f t="shared" si="66"/>
        <v>0</v>
      </c>
    </row>
    <row r="563" spans="1:15" s="5" customFormat="1" ht="16.149999999999999" customHeight="1" x14ac:dyDescent="0.2">
      <c r="A563" s="30"/>
      <c r="B563" s="110" t="s">
        <v>480</v>
      </c>
      <c r="C563" s="41"/>
      <c r="D563" s="41"/>
      <c r="E563" s="109"/>
      <c r="F563" s="109"/>
      <c r="G563" s="109"/>
      <c r="H563" s="89">
        <f t="shared" si="73"/>
        <v>0</v>
      </c>
      <c r="I563" s="89"/>
      <c r="K563" s="157"/>
      <c r="L563" s="157"/>
      <c r="M563" s="158"/>
      <c r="O563" s="82">
        <f t="shared" si="66"/>
        <v>0</v>
      </c>
    </row>
    <row r="564" spans="1:15" ht="15.95" customHeight="1" x14ac:dyDescent="0.2">
      <c r="A564" s="30"/>
      <c r="B564" s="41" t="s">
        <v>481</v>
      </c>
      <c r="C564" s="41"/>
      <c r="D564" s="41">
        <v>-1</v>
      </c>
      <c r="E564" s="90">
        <v>0.9</v>
      </c>
      <c r="F564" s="90"/>
      <c r="G564" s="90">
        <v>2.2000000000000002</v>
      </c>
      <c r="H564" s="89">
        <f t="shared" si="73"/>
        <v>-1.9800000000000002</v>
      </c>
      <c r="I564" s="89"/>
      <c r="J564" s="90"/>
      <c r="K564" s="157"/>
      <c r="L564" s="157"/>
      <c r="M564" s="158"/>
      <c r="O564" s="82">
        <f t="shared" si="66"/>
        <v>0</v>
      </c>
    </row>
    <row r="565" spans="1:15" s="5" customFormat="1" ht="16.149999999999999" customHeight="1" x14ac:dyDescent="0.2">
      <c r="A565" s="30"/>
      <c r="B565" s="44" t="s">
        <v>542</v>
      </c>
      <c r="C565" s="41"/>
      <c r="D565" s="41">
        <v>1</v>
      </c>
      <c r="E565" s="109">
        <v>2.9</v>
      </c>
      <c r="F565" s="109"/>
      <c r="G565" s="109">
        <f>3+0.1+0.25-0.45</f>
        <v>2.9</v>
      </c>
      <c r="H565" s="89">
        <f t="shared" si="73"/>
        <v>8.41</v>
      </c>
      <c r="I565" s="89"/>
      <c r="K565" s="157"/>
      <c r="L565" s="157"/>
      <c r="M565" s="158"/>
      <c r="O565" s="82">
        <f t="shared" si="66"/>
        <v>0</v>
      </c>
    </row>
    <row r="566" spans="1:15" s="5" customFormat="1" ht="16.149999999999999" customHeight="1" x14ac:dyDescent="0.2">
      <c r="A566" s="30"/>
      <c r="B566" s="110" t="s">
        <v>480</v>
      </c>
      <c r="C566" s="41"/>
      <c r="D566" s="41"/>
      <c r="E566" s="109"/>
      <c r="F566" s="109"/>
      <c r="G566" s="109"/>
      <c r="H566" s="89">
        <f t="shared" si="73"/>
        <v>0</v>
      </c>
      <c r="I566" s="89"/>
      <c r="K566" s="157"/>
      <c r="L566" s="157"/>
      <c r="M566" s="158"/>
      <c r="O566" s="82">
        <f t="shared" si="66"/>
        <v>0</v>
      </c>
    </row>
    <row r="567" spans="1:15" ht="15.95" customHeight="1" x14ac:dyDescent="0.2">
      <c r="A567" s="30"/>
      <c r="B567" s="41" t="s">
        <v>424</v>
      </c>
      <c r="C567" s="41"/>
      <c r="D567" s="41">
        <v>-1</v>
      </c>
      <c r="E567" s="90">
        <v>0.9</v>
      </c>
      <c r="F567" s="90"/>
      <c r="G567" s="90">
        <v>1.2</v>
      </c>
      <c r="H567" s="89">
        <f t="shared" si="73"/>
        <v>-1.08</v>
      </c>
      <c r="I567" s="89"/>
      <c r="J567" s="90"/>
      <c r="K567" s="157"/>
      <c r="L567" s="157"/>
      <c r="M567" s="158"/>
      <c r="O567" s="82">
        <f t="shared" si="66"/>
        <v>0</v>
      </c>
    </row>
    <row r="568" spans="1:15" s="5" customFormat="1" ht="16.149999999999999" customHeight="1" x14ac:dyDescent="0.2">
      <c r="A568" s="30"/>
      <c r="B568" s="44" t="s">
        <v>545</v>
      </c>
      <c r="C568" s="41"/>
      <c r="D568" s="41">
        <v>1</v>
      </c>
      <c r="E568" s="109">
        <v>1.85</v>
      </c>
      <c r="F568" s="109"/>
      <c r="G568" s="109">
        <v>3.1</v>
      </c>
      <c r="H568" s="89">
        <f t="shared" si="73"/>
        <v>5.7350000000000003</v>
      </c>
      <c r="I568" s="89"/>
      <c r="K568" s="157"/>
      <c r="L568" s="157"/>
      <c r="M568" s="158"/>
      <c r="O568" s="82">
        <f t="shared" si="66"/>
        <v>0</v>
      </c>
    </row>
    <row r="569" spans="1:15" s="5" customFormat="1" ht="16.149999999999999" customHeight="1" x14ac:dyDescent="0.2">
      <c r="A569" s="30"/>
      <c r="B569" s="110" t="s">
        <v>480</v>
      </c>
      <c r="C569" s="41"/>
      <c r="D569" s="41"/>
      <c r="E569" s="109"/>
      <c r="F569" s="109"/>
      <c r="G569" s="109"/>
      <c r="H569" s="89">
        <f t="shared" si="73"/>
        <v>0</v>
      </c>
      <c r="I569" s="90"/>
      <c r="J569" s="90"/>
      <c r="K569" s="157"/>
      <c r="L569" s="157"/>
      <c r="M569" s="158"/>
      <c r="O569" s="82">
        <f t="shared" si="66"/>
        <v>0</v>
      </c>
    </row>
    <row r="570" spans="1:15" ht="15.95" customHeight="1" x14ac:dyDescent="0.2">
      <c r="A570" s="30"/>
      <c r="B570" s="41" t="s">
        <v>481</v>
      </c>
      <c r="C570" s="41"/>
      <c r="D570" s="41">
        <v>-1</v>
      </c>
      <c r="E570" s="90">
        <v>0.9</v>
      </c>
      <c r="F570" s="90"/>
      <c r="G570" s="90">
        <v>2.2000000000000002</v>
      </c>
      <c r="H570" s="89">
        <f t="shared" si="73"/>
        <v>-1.9800000000000002</v>
      </c>
      <c r="I570" s="90"/>
      <c r="J570" s="90"/>
      <c r="K570" s="157"/>
      <c r="L570" s="157"/>
      <c r="M570" s="158"/>
      <c r="O570" s="82">
        <f t="shared" si="66"/>
        <v>0</v>
      </c>
    </row>
    <row r="571" spans="1:15" ht="15.95" customHeight="1" x14ac:dyDescent="0.2">
      <c r="A571" s="30"/>
      <c r="B571" s="41"/>
      <c r="C571" s="41"/>
      <c r="D571" s="41"/>
      <c r="E571" s="90"/>
      <c r="F571" s="90"/>
      <c r="G571" s="90"/>
      <c r="H571" s="89"/>
      <c r="I571" s="89">
        <f>SUM(H561:H570)</f>
        <v>15.925000000000001</v>
      </c>
      <c r="J571" s="90"/>
      <c r="K571" s="157"/>
      <c r="L571" s="157"/>
      <c r="M571" s="158"/>
      <c r="O571" s="82">
        <f t="shared" si="66"/>
        <v>0</v>
      </c>
    </row>
    <row r="572" spans="1:15" s="5" customFormat="1" ht="16.149999999999999" customHeight="1" x14ac:dyDescent="0.2">
      <c r="A572" s="30"/>
      <c r="B572" s="98" t="s">
        <v>466</v>
      </c>
      <c r="C572" s="32"/>
      <c r="D572" s="32"/>
      <c r="E572" s="89"/>
      <c r="F572" s="89"/>
      <c r="G572" s="89"/>
      <c r="H572" s="89">
        <f t="shared" ref="H572:H576" si="74">PRODUCT(D572:G572)</f>
        <v>0</v>
      </c>
      <c r="I572" s="89"/>
      <c r="J572" s="89"/>
      <c r="K572" s="157"/>
      <c r="L572" s="157"/>
      <c r="M572" s="158"/>
      <c r="O572" s="82">
        <f t="shared" si="66"/>
        <v>0</v>
      </c>
    </row>
    <row r="573" spans="1:15" ht="15.95" customHeight="1" x14ac:dyDescent="0.2">
      <c r="A573" s="30"/>
      <c r="B573" s="46"/>
      <c r="C573" s="41"/>
      <c r="D573" s="41">
        <v>8</v>
      </c>
      <c r="E573" s="90">
        <v>2</v>
      </c>
      <c r="F573" s="90"/>
      <c r="G573" s="109">
        <v>3.1</v>
      </c>
      <c r="H573" s="89">
        <f t="shared" si="74"/>
        <v>49.6</v>
      </c>
      <c r="I573" s="90"/>
      <c r="J573" s="90"/>
      <c r="K573" s="157"/>
      <c r="L573" s="157"/>
      <c r="M573" s="158"/>
      <c r="O573" s="82">
        <f t="shared" si="66"/>
        <v>0</v>
      </c>
    </row>
    <row r="574" spans="1:15" ht="15.75" customHeight="1" x14ac:dyDescent="0.2">
      <c r="A574" s="40"/>
      <c r="B574" s="46"/>
      <c r="C574" s="41"/>
      <c r="D574" s="41">
        <v>4</v>
      </c>
      <c r="E574" s="90">
        <v>4.5999999999999996</v>
      </c>
      <c r="F574" s="90"/>
      <c r="G574" s="109">
        <v>3.1</v>
      </c>
      <c r="H574" s="89">
        <f t="shared" si="74"/>
        <v>57.04</v>
      </c>
      <c r="I574" s="90"/>
      <c r="J574" s="90"/>
      <c r="K574" s="163"/>
      <c r="L574" s="163"/>
      <c r="M574" s="158"/>
      <c r="O574" s="82">
        <f t="shared" si="66"/>
        <v>0</v>
      </c>
    </row>
    <row r="575" spans="1:15" s="5" customFormat="1" ht="16.149999999999999" customHeight="1" x14ac:dyDescent="0.2">
      <c r="A575" s="30"/>
      <c r="B575" s="110" t="s">
        <v>480</v>
      </c>
      <c r="C575" s="41"/>
      <c r="D575" s="41"/>
      <c r="E575" s="109"/>
      <c r="F575" s="109"/>
      <c r="G575" s="109"/>
      <c r="H575" s="89">
        <f t="shared" si="74"/>
        <v>0</v>
      </c>
      <c r="I575" s="89"/>
      <c r="K575" s="157"/>
      <c r="L575" s="157"/>
      <c r="M575" s="158"/>
      <c r="O575" s="82">
        <f t="shared" si="66"/>
        <v>0</v>
      </c>
    </row>
    <row r="576" spans="1:15" ht="15.95" customHeight="1" x14ac:dyDescent="0.2">
      <c r="A576" s="30"/>
      <c r="B576" s="41" t="s">
        <v>481</v>
      </c>
      <c r="C576" s="41"/>
      <c r="D576" s="41">
        <v>-12</v>
      </c>
      <c r="E576" s="90">
        <v>0.8</v>
      </c>
      <c r="F576" s="90"/>
      <c r="G576" s="90">
        <v>2.2000000000000002</v>
      </c>
      <c r="H576" s="89">
        <f t="shared" si="74"/>
        <v>-21.120000000000005</v>
      </c>
      <c r="I576" s="89"/>
      <c r="J576" s="108"/>
      <c r="K576" s="157"/>
      <c r="L576" s="157"/>
      <c r="M576" s="158"/>
      <c r="O576" s="82">
        <f t="shared" si="66"/>
        <v>0</v>
      </c>
    </row>
    <row r="577" spans="1:15" ht="15.95" customHeight="1" x14ac:dyDescent="0.2">
      <c r="A577" s="40"/>
      <c r="B577" s="46"/>
      <c r="C577" s="41"/>
      <c r="D577" s="41"/>
      <c r="E577" s="90"/>
      <c r="F577" s="90"/>
      <c r="G577" s="90"/>
      <c r="H577" s="90"/>
      <c r="I577" s="90">
        <f>SUM(H573:H576)</f>
        <v>85.52</v>
      </c>
      <c r="J577" s="90"/>
      <c r="K577" s="163"/>
      <c r="L577" s="163"/>
      <c r="M577" s="158"/>
      <c r="O577" s="82">
        <f t="shared" si="66"/>
        <v>0</v>
      </c>
    </row>
    <row r="578" spans="1:15" ht="15.75" customHeight="1" x14ac:dyDescent="0.2">
      <c r="A578" s="40"/>
      <c r="B578" s="46"/>
      <c r="C578" s="41"/>
      <c r="D578" s="41"/>
      <c r="E578" s="90"/>
      <c r="F578" s="90"/>
      <c r="G578" s="90"/>
      <c r="H578" s="90"/>
      <c r="I578" s="90"/>
      <c r="J578" s="90"/>
      <c r="K578" s="163"/>
      <c r="L578" s="163"/>
      <c r="M578" s="158"/>
      <c r="O578" s="82">
        <f t="shared" si="66"/>
        <v>0</v>
      </c>
    </row>
    <row r="579" spans="1:15" ht="15.95" customHeight="1" x14ac:dyDescent="0.2">
      <c r="A579" s="40" t="s">
        <v>173</v>
      </c>
      <c r="B579" s="46" t="s">
        <v>511</v>
      </c>
      <c r="C579" s="41" t="s">
        <v>1</v>
      </c>
      <c r="D579" s="41"/>
      <c r="E579" s="90"/>
      <c r="F579" s="90"/>
      <c r="G579" s="90"/>
      <c r="H579" s="90"/>
      <c r="I579" s="90">
        <f>SUM(H580:H581)</f>
        <v>40</v>
      </c>
      <c r="J579" s="90">
        <f>I579</f>
        <v>40</v>
      </c>
      <c r="K579" s="163">
        <v>40</v>
      </c>
      <c r="L579" s="163">
        <v>750</v>
      </c>
      <c r="M579" s="158">
        <f t="shared" si="55"/>
        <v>30000</v>
      </c>
      <c r="O579" s="82">
        <f t="shared" si="66"/>
        <v>0</v>
      </c>
    </row>
    <row r="580" spans="1:15" ht="15.95" customHeight="1" x14ac:dyDescent="0.2">
      <c r="A580" s="40"/>
      <c r="B580" s="46" t="s">
        <v>509</v>
      </c>
      <c r="C580" s="41"/>
      <c r="D580" s="41">
        <v>1</v>
      </c>
      <c r="E580" s="90">
        <v>40</v>
      </c>
      <c r="F580" s="90"/>
      <c r="G580" s="90"/>
      <c r="H580" s="89">
        <f t="shared" ref="H580:H581" si="75">PRODUCT(D580:G580)</f>
        <v>40</v>
      </c>
      <c r="I580" s="90"/>
      <c r="J580" s="90"/>
      <c r="K580" s="163"/>
      <c r="L580" s="163"/>
      <c r="M580" s="158"/>
      <c r="O580" s="82">
        <f t="shared" si="66"/>
        <v>0</v>
      </c>
    </row>
    <row r="581" spans="1:15" ht="15.95" customHeight="1" x14ac:dyDescent="0.2">
      <c r="A581" s="40"/>
      <c r="B581" s="46" t="s">
        <v>510</v>
      </c>
      <c r="C581" s="41"/>
      <c r="D581" s="41">
        <v>1</v>
      </c>
      <c r="E581" s="90">
        <v>0</v>
      </c>
      <c r="F581" s="90"/>
      <c r="G581" s="90"/>
      <c r="H581" s="89">
        <f t="shared" si="75"/>
        <v>0</v>
      </c>
      <c r="I581" s="90"/>
      <c r="J581" s="90"/>
      <c r="K581" s="163"/>
      <c r="L581" s="163"/>
      <c r="M581" s="158"/>
      <c r="O581" s="82">
        <f t="shared" si="66"/>
        <v>0</v>
      </c>
    </row>
    <row r="582" spans="1:15" ht="15.95" customHeight="1" x14ac:dyDescent="0.2">
      <c r="A582" s="40"/>
      <c r="B582" s="46"/>
      <c r="C582" s="41"/>
      <c r="D582" s="41"/>
      <c r="E582" s="90"/>
      <c r="F582" s="90"/>
      <c r="G582" s="90"/>
      <c r="H582" s="90"/>
      <c r="I582" s="90"/>
      <c r="J582" s="90"/>
      <c r="K582" s="163"/>
      <c r="L582" s="163"/>
      <c r="M582" s="158"/>
      <c r="O582" s="82">
        <f t="shared" ref="O582:O645" si="76">K582-J582</f>
        <v>0</v>
      </c>
    </row>
    <row r="583" spans="1:15" ht="15.95" customHeight="1" x14ac:dyDescent="0.2">
      <c r="A583" s="40"/>
      <c r="B583" s="46"/>
      <c r="C583" s="41"/>
      <c r="D583" s="41"/>
      <c r="E583" s="90"/>
      <c r="F583" s="90"/>
      <c r="G583" s="90"/>
      <c r="H583" s="90"/>
      <c r="I583" s="90"/>
      <c r="J583" s="90"/>
      <c r="K583" s="163"/>
      <c r="L583" s="163"/>
      <c r="M583" s="158"/>
      <c r="O583" s="82">
        <f t="shared" si="76"/>
        <v>0</v>
      </c>
    </row>
    <row r="584" spans="1:15" ht="15.75" customHeight="1" x14ac:dyDescent="0.2">
      <c r="A584" s="40" t="s">
        <v>174</v>
      </c>
      <c r="B584" s="46" t="s">
        <v>326</v>
      </c>
      <c r="C584" s="41" t="s">
        <v>1</v>
      </c>
      <c r="D584" s="41"/>
      <c r="E584" s="90"/>
      <c r="F584" s="90"/>
      <c r="G584" s="90"/>
      <c r="H584" s="90"/>
      <c r="I584" s="90"/>
      <c r="J584" s="90"/>
      <c r="K584" s="163"/>
      <c r="L584" s="163">
        <v>800</v>
      </c>
      <c r="M584" s="158">
        <f t="shared" si="55"/>
        <v>0</v>
      </c>
      <c r="O584" s="82">
        <f t="shared" si="76"/>
        <v>0</v>
      </c>
    </row>
    <row r="585" spans="1:15" s="5" customFormat="1" ht="18" customHeight="1" x14ac:dyDescent="0.2">
      <c r="A585" s="250" t="s">
        <v>102</v>
      </c>
      <c r="B585" s="251"/>
      <c r="C585" s="251"/>
      <c r="D585" s="251"/>
      <c r="E585" s="251"/>
      <c r="F585" s="251"/>
      <c r="G585" s="251"/>
      <c r="H585" s="251"/>
      <c r="I585" s="251"/>
      <c r="J585" s="251"/>
      <c r="K585" s="251"/>
      <c r="L585" s="252"/>
      <c r="M585" s="159">
        <f>SUM(M437:M584)</f>
        <v>175700</v>
      </c>
      <c r="O585" s="82">
        <f t="shared" si="76"/>
        <v>0</v>
      </c>
    </row>
    <row r="586" spans="1:15" ht="18" customHeight="1" x14ac:dyDescent="0.2">
      <c r="A586" s="24"/>
      <c r="B586" s="25" t="s">
        <v>177</v>
      </c>
      <c r="C586" s="26"/>
      <c r="D586" s="26"/>
      <c r="E586" s="88"/>
      <c r="F586" s="88"/>
      <c r="G586" s="88"/>
      <c r="H586" s="88"/>
      <c r="I586" s="88"/>
      <c r="J586" s="88"/>
      <c r="K586" s="155"/>
      <c r="L586" s="155"/>
      <c r="M586" s="158"/>
      <c r="O586" s="82">
        <f t="shared" si="76"/>
        <v>0</v>
      </c>
    </row>
    <row r="587" spans="1:15" ht="15.95" customHeight="1" x14ac:dyDescent="0.2">
      <c r="A587" s="40" t="s">
        <v>176</v>
      </c>
      <c r="B587" s="46" t="s">
        <v>492</v>
      </c>
      <c r="C587" s="41" t="s">
        <v>4</v>
      </c>
      <c r="D587" s="41"/>
      <c r="E587" s="90"/>
      <c r="F587" s="90"/>
      <c r="G587" s="90"/>
      <c r="H587" s="90"/>
      <c r="I587" s="90"/>
      <c r="J587" s="90">
        <f>SUM(I588:I629)</f>
        <v>1334.55</v>
      </c>
      <c r="K587" s="163">
        <v>1350</v>
      </c>
      <c r="L587" s="163">
        <v>40</v>
      </c>
      <c r="M587" s="158">
        <f>+L587*K587</f>
        <v>54000</v>
      </c>
      <c r="O587" s="82">
        <f t="shared" si="76"/>
        <v>15.450000000000045</v>
      </c>
    </row>
    <row r="588" spans="1:15" s="5" customFormat="1" ht="16.149999999999999" customHeight="1" x14ac:dyDescent="0.2">
      <c r="A588" s="30"/>
      <c r="B588" s="98" t="s">
        <v>464</v>
      </c>
      <c r="C588" s="32"/>
      <c r="D588" s="32"/>
      <c r="E588" s="89"/>
      <c r="F588" s="89"/>
      <c r="G588" s="89"/>
      <c r="H588" s="89"/>
      <c r="I588" s="89"/>
      <c r="K588" s="157"/>
      <c r="L588" s="157"/>
      <c r="M588" s="158"/>
      <c r="O588" s="82">
        <f t="shared" si="76"/>
        <v>0</v>
      </c>
    </row>
    <row r="589" spans="1:15" s="5" customFormat="1" ht="16.149999999999999" customHeight="1" x14ac:dyDescent="0.2">
      <c r="A589" s="30"/>
      <c r="B589" s="105" t="s">
        <v>474</v>
      </c>
      <c r="C589" s="32"/>
      <c r="D589" s="32">
        <v>2</v>
      </c>
      <c r="E589" s="89">
        <v>34.200000000000003</v>
      </c>
      <c r="F589" s="89"/>
      <c r="G589" s="89">
        <v>8.0500000000000007</v>
      </c>
      <c r="H589" s="89">
        <f t="shared" ref="H589:H595" si="77">PRODUCT(D589:G589)</f>
        <v>550.62000000000012</v>
      </c>
      <c r="I589" s="89"/>
      <c r="K589" s="157"/>
      <c r="L589" s="157"/>
      <c r="M589" s="158"/>
      <c r="O589" s="82">
        <f t="shared" si="76"/>
        <v>0</v>
      </c>
    </row>
    <row r="590" spans="1:15" ht="15.95" customHeight="1" x14ac:dyDescent="0.2">
      <c r="A590" s="30"/>
      <c r="B590" s="46"/>
      <c r="C590" s="41"/>
      <c r="D590" s="41">
        <v>2</v>
      </c>
      <c r="E590" s="90">
        <v>9.8000000000000007</v>
      </c>
      <c r="F590" s="90"/>
      <c r="G590" s="89">
        <v>8.0500000000000007</v>
      </c>
      <c r="H590" s="89">
        <f t="shared" si="77"/>
        <v>157.78000000000003</v>
      </c>
      <c r="I590" s="90"/>
      <c r="J590" s="90"/>
      <c r="K590" s="157"/>
      <c r="L590" s="157"/>
      <c r="M590" s="158"/>
      <c r="O590" s="82">
        <f t="shared" si="76"/>
        <v>0</v>
      </c>
    </row>
    <row r="591" spans="1:15" ht="15.95" customHeight="1" x14ac:dyDescent="0.2">
      <c r="A591" s="30"/>
      <c r="B591" s="46"/>
      <c r="C591" s="41"/>
      <c r="D591" s="41">
        <v>4</v>
      </c>
      <c r="E591" s="90">
        <v>4.2</v>
      </c>
      <c r="F591" s="90"/>
      <c r="G591" s="89">
        <v>8.0500000000000007</v>
      </c>
      <c r="H591" s="89">
        <f t="shared" ref="H591" si="78">PRODUCT(D591:G591)</f>
        <v>135.24</v>
      </c>
      <c r="I591" s="90"/>
      <c r="J591" s="108"/>
      <c r="K591" s="157"/>
      <c r="L591" s="157"/>
      <c r="M591" s="158"/>
      <c r="O591" s="82">
        <f t="shared" si="76"/>
        <v>0</v>
      </c>
    </row>
    <row r="592" spans="1:15" ht="15.95" customHeight="1" x14ac:dyDescent="0.2">
      <c r="A592" s="30"/>
      <c r="B592" s="46"/>
      <c r="C592" s="41"/>
      <c r="D592" s="41"/>
      <c r="E592" s="90"/>
      <c r="F592" s="90"/>
      <c r="G592" s="90"/>
      <c r="H592" s="89"/>
      <c r="I592" s="90"/>
      <c r="J592" s="108"/>
      <c r="K592" s="157"/>
      <c r="L592" s="157"/>
      <c r="M592" s="158"/>
      <c r="O592" s="82">
        <f t="shared" si="76"/>
        <v>0</v>
      </c>
    </row>
    <row r="593" spans="1:15" s="5" customFormat="1" ht="16.149999999999999" customHeight="1" x14ac:dyDescent="0.2">
      <c r="A593" s="30"/>
      <c r="B593" s="110" t="s">
        <v>480</v>
      </c>
      <c r="C593" s="41"/>
      <c r="D593" s="41"/>
      <c r="E593" s="109"/>
      <c r="F593" s="109"/>
      <c r="G593" s="109"/>
      <c r="H593" s="89">
        <f t="shared" si="77"/>
        <v>0</v>
      </c>
      <c r="I593" s="89"/>
      <c r="K593" s="157"/>
      <c r="L593" s="157"/>
      <c r="M593" s="158"/>
      <c r="O593" s="82">
        <f t="shared" si="76"/>
        <v>0</v>
      </c>
    </row>
    <row r="594" spans="1:15" ht="15.95" customHeight="1" x14ac:dyDescent="0.2">
      <c r="A594" s="30"/>
      <c r="B594" s="41" t="s">
        <v>424</v>
      </c>
      <c r="C594" s="41"/>
      <c r="D594" s="41">
        <f>+-40</f>
        <v>-40</v>
      </c>
      <c r="E594" s="90">
        <v>0.9</v>
      </c>
      <c r="F594" s="90"/>
      <c r="G594" s="90">
        <v>1.2</v>
      </c>
      <c r="H594" s="89">
        <f t="shared" si="77"/>
        <v>-43.199999999999996</v>
      </c>
      <c r="I594" s="90"/>
      <c r="J594" s="90"/>
      <c r="K594" s="157"/>
      <c r="L594" s="157"/>
      <c r="M594" s="158"/>
      <c r="O594" s="82">
        <f t="shared" si="76"/>
        <v>0</v>
      </c>
    </row>
    <row r="595" spans="1:15" ht="15.95" customHeight="1" x14ac:dyDescent="0.2">
      <c r="A595" s="30"/>
      <c r="B595" s="41" t="s">
        <v>481</v>
      </c>
      <c r="C595" s="41"/>
      <c r="D595" s="41">
        <v>-10</v>
      </c>
      <c r="E595" s="90">
        <v>0.9</v>
      </c>
      <c r="F595" s="90"/>
      <c r="G595" s="90">
        <v>2.2000000000000002</v>
      </c>
      <c r="H595" s="89">
        <f t="shared" si="77"/>
        <v>-19.8</v>
      </c>
      <c r="I595" s="89"/>
      <c r="J595" s="90"/>
      <c r="K595" s="157"/>
      <c r="L595" s="157"/>
      <c r="M595" s="158"/>
      <c r="O595" s="82">
        <f t="shared" si="76"/>
        <v>0</v>
      </c>
    </row>
    <row r="596" spans="1:15" ht="15.95" customHeight="1" x14ac:dyDescent="0.2">
      <c r="A596" s="30"/>
      <c r="B596" s="46"/>
      <c r="C596" s="41"/>
      <c r="D596" s="41"/>
      <c r="E596" s="90"/>
      <c r="F596" s="90"/>
      <c r="G596" s="90"/>
      <c r="H596" s="89"/>
      <c r="I596" s="90">
        <f>SUM(H589:H596)</f>
        <v>780.6400000000001</v>
      </c>
      <c r="J596" s="90"/>
      <c r="K596" s="157"/>
      <c r="L596" s="157"/>
      <c r="M596" s="158"/>
      <c r="O596" s="82">
        <f t="shared" si="76"/>
        <v>0</v>
      </c>
    </row>
    <row r="597" spans="1:15" s="5" customFormat="1" ht="16.149999999999999" customHeight="1" x14ac:dyDescent="0.2">
      <c r="A597" s="30"/>
      <c r="B597" s="98" t="s">
        <v>465</v>
      </c>
      <c r="C597" s="32"/>
      <c r="D597" s="32"/>
      <c r="E597" s="89"/>
      <c r="F597" s="89"/>
      <c r="G597" s="89"/>
      <c r="H597" s="89">
        <f t="shared" ref="H597:H603" si="79">PRODUCT(D597:G597)</f>
        <v>0</v>
      </c>
      <c r="I597" s="89"/>
      <c r="J597" s="90"/>
      <c r="K597" s="157"/>
      <c r="L597" s="157"/>
      <c r="M597" s="158"/>
      <c r="O597" s="82">
        <f t="shared" si="76"/>
        <v>0</v>
      </c>
    </row>
    <row r="598" spans="1:15" ht="15.95" customHeight="1" x14ac:dyDescent="0.2">
      <c r="A598" s="30"/>
      <c r="B598" s="46"/>
      <c r="C598" s="41"/>
      <c r="D598" s="41">
        <v>2</v>
      </c>
      <c r="E598" s="90">
        <v>10.7</v>
      </c>
      <c r="F598" s="90"/>
      <c r="G598" s="90">
        <f>0.45+3+0.1+0.25+0.7</f>
        <v>4.5</v>
      </c>
      <c r="H598" s="89">
        <f t="shared" si="79"/>
        <v>96.3</v>
      </c>
      <c r="I598" s="90"/>
      <c r="J598" s="90"/>
      <c r="K598" s="157"/>
      <c r="L598" s="157"/>
      <c r="M598" s="158"/>
      <c r="O598" s="82">
        <f t="shared" si="76"/>
        <v>0</v>
      </c>
    </row>
    <row r="599" spans="1:15" ht="15.95" customHeight="1" x14ac:dyDescent="0.2">
      <c r="A599" s="30"/>
      <c r="B599" s="46"/>
      <c r="C599" s="41"/>
      <c r="D599" s="41">
        <v>2</v>
      </c>
      <c r="E599" s="90">
        <v>9.6</v>
      </c>
      <c r="F599" s="90"/>
      <c r="G599" s="90">
        <f>0.45+3+0.1+0.25+0.7</f>
        <v>4.5</v>
      </c>
      <c r="H599" s="89">
        <f t="shared" si="79"/>
        <v>86.399999999999991</v>
      </c>
      <c r="I599" s="90"/>
      <c r="J599" s="90"/>
      <c r="K599" s="157"/>
      <c r="L599" s="157"/>
      <c r="M599" s="158"/>
      <c r="O599" s="82">
        <f t="shared" si="76"/>
        <v>0</v>
      </c>
    </row>
    <row r="600" spans="1:15" s="5" customFormat="1" ht="16.149999999999999" customHeight="1" x14ac:dyDescent="0.2">
      <c r="A600" s="30"/>
      <c r="B600" s="110" t="s">
        <v>480</v>
      </c>
      <c r="C600" s="41"/>
      <c r="D600" s="41"/>
      <c r="E600" s="109"/>
      <c r="F600" s="109"/>
      <c r="G600" s="109"/>
      <c r="H600" s="89">
        <f t="shared" si="79"/>
        <v>0</v>
      </c>
      <c r="I600" s="89"/>
      <c r="J600" s="90"/>
      <c r="K600" s="157"/>
      <c r="L600" s="157"/>
      <c r="M600" s="158"/>
      <c r="O600" s="82">
        <f t="shared" si="76"/>
        <v>0</v>
      </c>
    </row>
    <row r="601" spans="1:15" ht="15.95" customHeight="1" x14ac:dyDescent="0.2">
      <c r="A601" s="30"/>
      <c r="B601" s="41" t="s">
        <v>424</v>
      </c>
      <c r="C601" s="41"/>
      <c r="D601" s="41">
        <v>-7</v>
      </c>
      <c r="E601" s="90">
        <v>0.9</v>
      </c>
      <c r="F601" s="90"/>
      <c r="G601" s="90">
        <v>1.2</v>
      </c>
      <c r="H601" s="89">
        <f t="shared" si="79"/>
        <v>-7.56</v>
      </c>
      <c r="I601" s="90"/>
      <c r="J601" s="90"/>
      <c r="K601" s="157"/>
      <c r="L601" s="157"/>
      <c r="M601" s="158"/>
      <c r="O601" s="82">
        <f t="shared" si="76"/>
        <v>0</v>
      </c>
    </row>
    <row r="602" spans="1:15" ht="15.95" customHeight="1" x14ac:dyDescent="0.2">
      <c r="A602" s="30"/>
      <c r="B602" s="41" t="s">
        <v>493</v>
      </c>
      <c r="C602" s="41"/>
      <c r="D602" s="41">
        <v>-1</v>
      </c>
      <c r="E602" s="90">
        <v>2</v>
      </c>
      <c r="F602" s="90"/>
      <c r="G602" s="90">
        <v>2.2000000000000002</v>
      </c>
      <c r="H602" s="89">
        <f t="shared" si="79"/>
        <v>-4.4000000000000004</v>
      </c>
      <c r="I602" s="89"/>
      <c r="J602" s="90"/>
      <c r="K602" s="157"/>
      <c r="L602" s="157"/>
      <c r="M602" s="158"/>
      <c r="O602" s="82">
        <f t="shared" si="76"/>
        <v>0</v>
      </c>
    </row>
    <row r="603" spans="1:15" ht="15.95" customHeight="1" x14ac:dyDescent="0.2">
      <c r="A603" s="30"/>
      <c r="B603" s="41" t="s">
        <v>481</v>
      </c>
      <c r="C603" s="41"/>
      <c r="D603" s="41">
        <v>-1</v>
      </c>
      <c r="E603" s="90">
        <v>0.9</v>
      </c>
      <c r="F603" s="90"/>
      <c r="G603" s="90">
        <v>2.2000000000000002</v>
      </c>
      <c r="H603" s="89">
        <f t="shared" si="79"/>
        <v>-1.9800000000000002</v>
      </c>
      <c r="I603" s="89"/>
      <c r="J603" s="90"/>
      <c r="K603" s="157"/>
      <c r="L603" s="157"/>
      <c r="M603" s="158"/>
      <c r="O603" s="82">
        <f t="shared" si="76"/>
        <v>0</v>
      </c>
    </row>
    <row r="604" spans="1:15" ht="15.95" customHeight="1" x14ac:dyDescent="0.2">
      <c r="A604" s="30"/>
      <c r="B604" s="46"/>
      <c r="C604" s="41"/>
      <c r="D604" s="41"/>
      <c r="E604" s="90"/>
      <c r="F604" s="90"/>
      <c r="G604" s="90"/>
      <c r="H604" s="89"/>
      <c r="I604" s="90">
        <f>SUM(H598:H603)</f>
        <v>168.76</v>
      </c>
      <c r="J604" s="90"/>
      <c r="K604" s="157"/>
      <c r="L604" s="157"/>
      <c r="M604" s="158"/>
      <c r="O604" s="82">
        <f t="shared" si="76"/>
        <v>0</v>
      </c>
    </row>
    <row r="605" spans="1:15" ht="15.95" customHeight="1" x14ac:dyDescent="0.2">
      <c r="A605" s="30"/>
      <c r="B605" s="46"/>
      <c r="C605" s="41"/>
      <c r="D605" s="41"/>
      <c r="E605" s="90"/>
      <c r="F605" s="90"/>
      <c r="G605" s="90"/>
      <c r="H605" s="89"/>
      <c r="I605" s="90"/>
      <c r="J605" s="90"/>
      <c r="K605" s="157"/>
      <c r="L605" s="157"/>
      <c r="M605" s="158"/>
      <c r="O605" s="82">
        <f t="shared" si="76"/>
        <v>0</v>
      </c>
    </row>
    <row r="606" spans="1:15" s="5" customFormat="1" ht="16.149999999999999" customHeight="1" x14ac:dyDescent="0.2">
      <c r="A606" s="30"/>
      <c r="B606" s="98" t="s">
        <v>530</v>
      </c>
      <c r="C606" s="32"/>
      <c r="D606" s="32"/>
      <c r="E606" s="89"/>
      <c r="F606" s="89"/>
      <c r="G606" s="89"/>
      <c r="H606" s="89">
        <f t="shared" ref="H606:H612" si="80">PRODUCT(D606:G606)</f>
        <v>0</v>
      </c>
      <c r="I606" s="89"/>
      <c r="J606" s="89"/>
      <c r="K606" s="157"/>
      <c r="L606" s="157"/>
      <c r="M606" s="158"/>
      <c r="O606" s="82">
        <f t="shared" si="76"/>
        <v>0</v>
      </c>
    </row>
    <row r="607" spans="1:15" ht="15.95" customHeight="1" x14ac:dyDescent="0.2">
      <c r="A607" s="30"/>
      <c r="B607" s="46"/>
      <c r="C607" s="41"/>
      <c r="D607" s="41">
        <v>2</v>
      </c>
      <c r="E607" s="90">
        <v>11.1</v>
      </c>
      <c r="F607" s="90"/>
      <c r="G607" s="90">
        <f>0.45+3+0.1+0.25+0.7</f>
        <v>4.5</v>
      </c>
      <c r="H607" s="89">
        <f t="shared" si="80"/>
        <v>99.899999999999991</v>
      </c>
      <c r="I607" s="90"/>
      <c r="J607" s="90"/>
      <c r="K607" s="157"/>
      <c r="L607" s="157"/>
      <c r="M607" s="158"/>
      <c r="O607" s="82">
        <f t="shared" si="76"/>
        <v>0</v>
      </c>
    </row>
    <row r="608" spans="1:15" ht="15.95" customHeight="1" x14ac:dyDescent="0.2">
      <c r="A608" s="30"/>
      <c r="B608" s="46"/>
      <c r="C608" s="41"/>
      <c r="D608" s="41">
        <v>2</v>
      </c>
      <c r="E608" s="90">
        <v>9.75</v>
      </c>
      <c r="F608" s="90"/>
      <c r="G608" s="90">
        <f>0.45+3+0.1+0.25+0.7</f>
        <v>4.5</v>
      </c>
      <c r="H608" s="89">
        <f t="shared" si="80"/>
        <v>87.75</v>
      </c>
      <c r="I608" s="90"/>
      <c r="J608" s="90"/>
      <c r="K608" s="157"/>
      <c r="L608" s="157"/>
      <c r="M608" s="158"/>
      <c r="O608" s="82">
        <f t="shared" si="76"/>
        <v>0</v>
      </c>
    </row>
    <row r="609" spans="1:15" ht="15.95" customHeight="1" x14ac:dyDescent="0.2">
      <c r="A609" s="30"/>
      <c r="B609" s="46"/>
      <c r="C609" s="41"/>
      <c r="D609" s="41">
        <v>2</v>
      </c>
      <c r="E609" s="90">
        <v>0.4</v>
      </c>
      <c r="F609" s="90"/>
      <c r="G609" s="90">
        <v>3.1</v>
      </c>
      <c r="H609" s="89">
        <f t="shared" si="80"/>
        <v>2.4800000000000004</v>
      </c>
      <c r="I609" s="90"/>
      <c r="J609" s="90"/>
      <c r="K609" s="157"/>
      <c r="L609" s="157"/>
      <c r="M609" s="158"/>
      <c r="O609" s="82">
        <f t="shared" si="76"/>
        <v>0</v>
      </c>
    </row>
    <row r="610" spans="1:15" s="5" customFormat="1" ht="16.149999999999999" customHeight="1" x14ac:dyDescent="0.2">
      <c r="A610" s="30"/>
      <c r="B610" s="110" t="s">
        <v>480</v>
      </c>
      <c r="C610" s="41"/>
      <c r="D610" s="41"/>
      <c r="E610" s="109"/>
      <c r="F610" s="109"/>
      <c r="G610" s="109"/>
      <c r="H610" s="89">
        <f t="shared" si="80"/>
        <v>0</v>
      </c>
      <c r="I610" s="89"/>
      <c r="J610" s="90"/>
      <c r="K610" s="157"/>
      <c r="L610" s="157"/>
      <c r="M610" s="158"/>
      <c r="O610" s="82">
        <f t="shared" si="76"/>
        <v>0</v>
      </c>
    </row>
    <row r="611" spans="1:15" ht="15.95" customHeight="1" x14ac:dyDescent="0.2">
      <c r="A611" s="30"/>
      <c r="B611" s="41" t="s">
        <v>424</v>
      </c>
      <c r="C611" s="41"/>
      <c r="D611" s="41">
        <v>-5</v>
      </c>
      <c r="E611" s="90">
        <v>0.9</v>
      </c>
      <c r="F611" s="90"/>
      <c r="G611" s="90">
        <v>1.2</v>
      </c>
      <c r="H611" s="89">
        <f t="shared" si="80"/>
        <v>-5.3999999999999995</v>
      </c>
      <c r="I611" s="90"/>
      <c r="J611" s="90"/>
      <c r="K611" s="157"/>
      <c r="L611" s="157"/>
      <c r="M611" s="158"/>
      <c r="O611" s="82">
        <f t="shared" si="76"/>
        <v>0</v>
      </c>
    </row>
    <row r="612" spans="1:15" ht="15.95" customHeight="1" x14ac:dyDescent="0.2">
      <c r="A612" s="30"/>
      <c r="B612" s="41" t="s">
        <v>481</v>
      </c>
      <c r="C612" s="41"/>
      <c r="D612" s="41">
        <v>-1</v>
      </c>
      <c r="E612" s="90">
        <v>1.2</v>
      </c>
      <c r="F612" s="90"/>
      <c r="G612" s="90">
        <v>2.2000000000000002</v>
      </c>
      <c r="H612" s="89">
        <f t="shared" si="80"/>
        <v>-2.64</v>
      </c>
      <c r="I612" s="89"/>
      <c r="J612" s="90"/>
      <c r="K612" s="157"/>
      <c r="L612" s="157"/>
      <c r="M612" s="158"/>
      <c r="O612" s="82">
        <f t="shared" si="76"/>
        <v>0</v>
      </c>
    </row>
    <row r="613" spans="1:15" ht="15.95" customHeight="1" x14ac:dyDescent="0.2">
      <c r="A613" s="30"/>
      <c r="B613" s="46"/>
      <c r="C613" s="41"/>
      <c r="D613" s="41"/>
      <c r="E613" s="90"/>
      <c r="F613" s="90"/>
      <c r="G613" s="90"/>
      <c r="H613" s="89"/>
      <c r="I613" s="90">
        <f>SUM(H607:H612)</f>
        <v>182.08999999999997</v>
      </c>
      <c r="J613" s="90"/>
      <c r="K613" s="157"/>
      <c r="L613" s="157"/>
      <c r="M613" s="158"/>
      <c r="O613" s="82">
        <f t="shared" si="76"/>
        <v>0</v>
      </c>
    </row>
    <row r="614" spans="1:15" ht="15.95" customHeight="1" x14ac:dyDescent="0.2">
      <c r="A614" s="30"/>
      <c r="B614" s="46"/>
      <c r="C614" s="41"/>
      <c r="D614" s="41"/>
      <c r="E614" s="90"/>
      <c r="F614" s="90"/>
      <c r="G614" s="90"/>
      <c r="H614" s="89"/>
      <c r="I614" s="90"/>
      <c r="J614" s="90"/>
      <c r="K614" s="157"/>
      <c r="L614" s="157"/>
      <c r="M614" s="158"/>
      <c r="O614" s="82">
        <f t="shared" si="76"/>
        <v>0</v>
      </c>
    </row>
    <row r="615" spans="1:15" s="5" customFormat="1" ht="16.149999999999999" customHeight="1" x14ac:dyDescent="0.2">
      <c r="A615" s="30"/>
      <c r="B615" s="98" t="s">
        <v>466</v>
      </c>
      <c r="C615" s="32"/>
      <c r="D615" s="32"/>
      <c r="E615" s="89"/>
      <c r="F615" s="89"/>
      <c r="G615" s="89"/>
      <c r="H615" s="89">
        <f t="shared" ref="H615:H620" si="81">PRODUCT(D615:G615)</f>
        <v>0</v>
      </c>
      <c r="I615" s="89"/>
      <c r="J615" s="90"/>
      <c r="K615" s="157"/>
      <c r="L615" s="157"/>
      <c r="M615" s="158"/>
      <c r="O615" s="82">
        <f t="shared" si="76"/>
        <v>0</v>
      </c>
    </row>
    <row r="616" spans="1:15" ht="15.95" customHeight="1" x14ac:dyDescent="0.2">
      <c r="A616" s="30"/>
      <c r="B616" s="46"/>
      <c r="C616" s="41"/>
      <c r="D616" s="41">
        <v>2</v>
      </c>
      <c r="E616" s="90">
        <v>8.8000000000000007</v>
      </c>
      <c r="F616" s="90"/>
      <c r="G616" s="90">
        <f t="shared" ref="G616:G617" si="82">0.45+3+0.1+0.25+0.7</f>
        <v>4.5</v>
      </c>
      <c r="H616" s="89">
        <f t="shared" si="81"/>
        <v>79.2</v>
      </c>
      <c r="I616" s="90"/>
      <c r="J616" s="90"/>
      <c r="K616" s="157"/>
      <c r="L616" s="157"/>
      <c r="M616" s="158"/>
      <c r="O616" s="82">
        <f t="shared" si="76"/>
        <v>0</v>
      </c>
    </row>
    <row r="617" spans="1:15" ht="15.95" customHeight="1" x14ac:dyDescent="0.2">
      <c r="A617" s="30"/>
      <c r="B617" s="46"/>
      <c r="C617" s="41"/>
      <c r="D617" s="41">
        <v>2</v>
      </c>
      <c r="E617" s="90">
        <v>9.8000000000000007</v>
      </c>
      <c r="F617" s="90"/>
      <c r="G617" s="90">
        <f t="shared" si="82"/>
        <v>4.5</v>
      </c>
      <c r="H617" s="89">
        <f t="shared" si="81"/>
        <v>88.2</v>
      </c>
      <c r="I617" s="80"/>
      <c r="J617" s="90"/>
      <c r="K617" s="157"/>
      <c r="L617" s="157"/>
      <c r="M617" s="158"/>
      <c r="O617" s="82">
        <f t="shared" si="76"/>
        <v>0</v>
      </c>
    </row>
    <row r="618" spans="1:15" s="5" customFormat="1" ht="16.149999999999999" customHeight="1" x14ac:dyDescent="0.2">
      <c r="A618" s="30"/>
      <c r="B618" s="110" t="s">
        <v>480</v>
      </c>
      <c r="C618" s="41"/>
      <c r="D618" s="41"/>
      <c r="E618" s="109"/>
      <c r="F618" s="109"/>
      <c r="G618" s="109"/>
      <c r="H618" s="89">
        <f t="shared" si="81"/>
        <v>0</v>
      </c>
      <c r="I618" s="89"/>
      <c r="J618" s="90"/>
      <c r="K618" s="157"/>
      <c r="L618" s="157"/>
      <c r="M618" s="158"/>
      <c r="O618" s="82">
        <f t="shared" si="76"/>
        <v>0</v>
      </c>
    </row>
    <row r="619" spans="1:15" ht="15.95" customHeight="1" x14ac:dyDescent="0.2">
      <c r="A619" s="30"/>
      <c r="B619" s="41" t="s">
        <v>424</v>
      </c>
      <c r="C619" s="41"/>
      <c r="D619" s="41">
        <v>-8</v>
      </c>
      <c r="E619" s="90">
        <v>0.9</v>
      </c>
      <c r="F619" s="90"/>
      <c r="G619" s="90">
        <v>0.5</v>
      </c>
      <c r="H619" s="89">
        <f t="shared" si="81"/>
        <v>-3.6</v>
      </c>
      <c r="I619" s="90"/>
      <c r="J619" s="90"/>
      <c r="K619" s="157"/>
      <c r="L619" s="157"/>
      <c r="M619" s="158"/>
      <c r="O619" s="82">
        <f t="shared" si="76"/>
        <v>0</v>
      </c>
    </row>
    <row r="620" spans="1:15" ht="15.95" customHeight="1" x14ac:dyDescent="0.2">
      <c r="A620" s="30"/>
      <c r="B620" s="41" t="s">
        <v>481</v>
      </c>
      <c r="C620" s="41"/>
      <c r="D620" s="41">
        <v>-4</v>
      </c>
      <c r="E620" s="90">
        <v>1</v>
      </c>
      <c r="F620" s="90"/>
      <c r="G620" s="90">
        <v>2.2000000000000002</v>
      </c>
      <c r="H620" s="89">
        <f t="shared" si="81"/>
        <v>-8.8000000000000007</v>
      </c>
      <c r="I620" s="89"/>
      <c r="J620" s="90"/>
      <c r="K620" s="157"/>
      <c r="L620" s="157"/>
      <c r="M620" s="158"/>
      <c r="O620" s="82">
        <f t="shared" si="76"/>
        <v>0</v>
      </c>
    </row>
    <row r="621" spans="1:15" ht="15.95" customHeight="1" x14ac:dyDescent="0.2">
      <c r="A621" s="30"/>
      <c r="B621" s="46"/>
      <c r="C621" s="41"/>
      <c r="D621" s="41"/>
      <c r="E621" s="90"/>
      <c r="F621" s="90"/>
      <c r="G621" s="90"/>
      <c r="H621" s="89"/>
      <c r="I621" s="90">
        <f>SUM(H616:H620)</f>
        <v>155</v>
      </c>
      <c r="J621" s="90"/>
      <c r="K621" s="157"/>
      <c r="L621" s="157"/>
      <c r="M621" s="158"/>
      <c r="O621" s="82">
        <f t="shared" si="76"/>
        <v>0</v>
      </c>
    </row>
    <row r="622" spans="1:15" s="5" customFormat="1" ht="16.149999999999999" customHeight="1" x14ac:dyDescent="0.2">
      <c r="A622" s="30"/>
      <c r="B622" s="98" t="s">
        <v>467</v>
      </c>
      <c r="C622" s="32"/>
      <c r="D622" s="32"/>
      <c r="E622" s="89"/>
      <c r="F622" s="89"/>
      <c r="G622" s="89"/>
      <c r="H622" s="89">
        <f t="shared" ref="H622:H627" si="83">PRODUCT(D622:G622)</f>
        <v>0</v>
      </c>
      <c r="I622" s="89"/>
      <c r="J622" s="90"/>
      <c r="K622" s="157"/>
      <c r="L622" s="157"/>
      <c r="M622" s="158"/>
      <c r="O622" s="82">
        <f t="shared" si="76"/>
        <v>0</v>
      </c>
    </row>
    <row r="623" spans="1:15" ht="15.95" customHeight="1" x14ac:dyDescent="0.2">
      <c r="A623" s="30"/>
      <c r="B623" s="46"/>
      <c r="C623" s="41"/>
      <c r="D623" s="41">
        <v>2</v>
      </c>
      <c r="E623" s="90">
        <v>2.4</v>
      </c>
      <c r="F623" s="90"/>
      <c r="G623" s="90">
        <f t="shared" ref="G623:G624" si="84">0.45+3+0.1+0.25+0.7</f>
        <v>4.5</v>
      </c>
      <c r="H623" s="89">
        <f t="shared" si="83"/>
        <v>21.599999999999998</v>
      </c>
      <c r="I623" s="90"/>
      <c r="J623" s="90"/>
      <c r="K623" s="157"/>
      <c r="L623" s="157"/>
      <c r="M623" s="158"/>
      <c r="O623" s="82">
        <f t="shared" si="76"/>
        <v>0</v>
      </c>
    </row>
    <row r="624" spans="1:15" ht="15.95" customHeight="1" x14ac:dyDescent="0.2">
      <c r="A624" s="30"/>
      <c r="B624" s="46"/>
      <c r="C624" s="41"/>
      <c r="D624" s="41">
        <v>2</v>
      </c>
      <c r="E624" s="90">
        <v>3.4</v>
      </c>
      <c r="F624" s="90"/>
      <c r="G624" s="90">
        <f t="shared" si="84"/>
        <v>4.5</v>
      </c>
      <c r="H624" s="89">
        <f t="shared" si="83"/>
        <v>30.599999999999998</v>
      </c>
      <c r="I624" s="80"/>
      <c r="J624" s="90"/>
      <c r="K624" s="157"/>
      <c r="L624" s="157"/>
      <c r="M624" s="158"/>
      <c r="O624" s="82">
        <f t="shared" si="76"/>
        <v>0</v>
      </c>
    </row>
    <row r="625" spans="1:15" s="5" customFormat="1" ht="16.149999999999999" customHeight="1" x14ac:dyDescent="0.2">
      <c r="A625" s="30"/>
      <c r="B625" s="110" t="s">
        <v>480</v>
      </c>
      <c r="C625" s="41"/>
      <c r="D625" s="41"/>
      <c r="E625" s="109"/>
      <c r="F625" s="109"/>
      <c r="G625" s="109"/>
      <c r="H625" s="89">
        <f t="shared" si="83"/>
        <v>0</v>
      </c>
      <c r="I625" s="89"/>
      <c r="J625" s="90"/>
      <c r="K625" s="157"/>
      <c r="L625" s="157"/>
      <c r="M625" s="158"/>
      <c r="O625" s="82">
        <f t="shared" si="76"/>
        <v>0</v>
      </c>
    </row>
    <row r="626" spans="1:15" ht="15.95" customHeight="1" x14ac:dyDescent="0.2">
      <c r="A626" s="30"/>
      <c r="B626" s="41" t="s">
        <v>424</v>
      </c>
      <c r="C626" s="41"/>
      <c r="D626" s="41">
        <v>-2</v>
      </c>
      <c r="E626" s="90">
        <v>0.9</v>
      </c>
      <c r="F626" s="90"/>
      <c r="G626" s="90">
        <v>1.2</v>
      </c>
      <c r="H626" s="89">
        <f t="shared" si="83"/>
        <v>-2.16</v>
      </c>
      <c r="I626" s="90"/>
      <c r="J626" s="90"/>
      <c r="K626" s="157"/>
      <c r="L626" s="157"/>
      <c r="M626" s="158"/>
      <c r="O626" s="82">
        <f t="shared" si="76"/>
        <v>0</v>
      </c>
    </row>
    <row r="627" spans="1:15" ht="15.95" customHeight="1" x14ac:dyDescent="0.2">
      <c r="A627" s="30"/>
      <c r="B627" s="41" t="s">
        <v>481</v>
      </c>
      <c r="C627" s="41"/>
      <c r="D627" s="41">
        <v>-1</v>
      </c>
      <c r="E627" s="90">
        <v>0.9</v>
      </c>
      <c r="F627" s="90"/>
      <c r="G627" s="90">
        <v>2.2000000000000002</v>
      </c>
      <c r="H627" s="89">
        <f t="shared" si="83"/>
        <v>-1.9800000000000002</v>
      </c>
      <c r="I627" s="89"/>
      <c r="J627" s="90"/>
      <c r="K627" s="157"/>
      <c r="L627" s="157"/>
      <c r="M627" s="158"/>
      <c r="O627" s="82">
        <f t="shared" si="76"/>
        <v>0</v>
      </c>
    </row>
    <row r="628" spans="1:15" ht="15.95" customHeight="1" x14ac:dyDescent="0.2">
      <c r="A628" s="40"/>
      <c r="B628" s="46"/>
      <c r="C628" s="41"/>
      <c r="D628" s="41"/>
      <c r="E628" s="90"/>
      <c r="F628" s="90"/>
      <c r="G628" s="90"/>
      <c r="H628" s="90"/>
      <c r="I628" s="90">
        <f>SUM(H623:H627)</f>
        <v>48.059999999999995</v>
      </c>
      <c r="J628" s="90"/>
      <c r="K628" s="163"/>
      <c r="L628" s="163"/>
      <c r="M628" s="158"/>
      <c r="O628" s="82">
        <f t="shared" si="76"/>
        <v>0</v>
      </c>
    </row>
    <row r="629" spans="1:15" ht="15.95" customHeight="1" x14ac:dyDescent="0.2">
      <c r="A629" s="40"/>
      <c r="B629" s="46"/>
      <c r="C629" s="41"/>
      <c r="D629" s="41"/>
      <c r="E629" s="90"/>
      <c r="F629" s="90"/>
      <c r="G629" s="90"/>
      <c r="H629" s="90"/>
      <c r="I629" s="90"/>
      <c r="J629" s="90"/>
      <c r="K629" s="163"/>
      <c r="L629" s="163"/>
      <c r="M629" s="158"/>
      <c r="O629" s="82">
        <f t="shared" si="76"/>
        <v>0</v>
      </c>
    </row>
    <row r="630" spans="1:15" ht="15.95" customHeight="1" x14ac:dyDescent="0.2">
      <c r="A630" s="40" t="s">
        <v>178</v>
      </c>
      <c r="B630" s="46" t="s">
        <v>437</v>
      </c>
      <c r="C630" s="41" t="s">
        <v>4</v>
      </c>
      <c r="D630" s="41"/>
      <c r="E630" s="90"/>
      <c r="F630" s="90"/>
      <c r="G630" s="90"/>
      <c r="H630" s="90"/>
      <c r="I630" s="90"/>
      <c r="J630" s="90"/>
      <c r="K630" s="163"/>
      <c r="L630" s="163">
        <v>30</v>
      </c>
      <c r="M630" s="158">
        <f>+L630*K630</f>
        <v>0</v>
      </c>
      <c r="O630" s="82">
        <f t="shared" si="76"/>
        <v>0</v>
      </c>
    </row>
    <row r="631" spans="1:15" ht="15.95" customHeight="1" x14ac:dyDescent="0.2">
      <c r="A631" s="40"/>
      <c r="B631" s="46"/>
      <c r="C631" s="41"/>
      <c r="D631" s="41"/>
      <c r="E631" s="90"/>
      <c r="F631" s="90"/>
      <c r="G631" s="90"/>
      <c r="H631" s="90"/>
      <c r="I631" s="90"/>
      <c r="J631" s="90"/>
      <c r="K631" s="163"/>
      <c r="L631" s="163"/>
      <c r="M631" s="158"/>
      <c r="O631" s="82">
        <f t="shared" si="76"/>
        <v>0</v>
      </c>
    </row>
    <row r="632" spans="1:15" ht="24" x14ac:dyDescent="0.2">
      <c r="A632" s="40" t="s">
        <v>179</v>
      </c>
      <c r="B632" s="45" t="s">
        <v>84</v>
      </c>
      <c r="C632" s="41" t="s">
        <v>4</v>
      </c>
      <c r="D632" s="41"/>
      <c r="E632" s="90"/>
      <c r="F632" s="90"/>
      <c r="G632" s="90"/>
      <c r="H632" s="90"/>
      <c r="I632" s="90"/>
      <c r="J632" s="90">
        <f>SUM(I634:I744)</f>
        <v>1613.7730000000001</v>
      </c>
      <c r="K632" s="163">
        <v>1630</v>
      </c>
      <c r="L632" s="163">
        <v>35</v>
      </c>
      <c r="M632" s="158">
        <f>+L632*K632</f>
        <v>57050</v>
      </c>
      <c r="O632" s="82">
        <f t="shared" si="76"/>
        <v>16.226999999999862</v>
      </c>
    </row>
    <row r="633" spans="1:15" s="5" customFormat="1" ht="16.149999999999999" customHeight="1" x14ac:dyDescent="0.2">
      <c r="A633" s="30"/>
      <c r="B633" s="98" t="s">
        <v>464</v>
      </c>
      <c r="C633" s="32"/>
      <c r="D633" s="32"/>
      <c r="E633" s="89"/>
      <c r="F633" s="89"/>
      <c r="G633" s="89"/>
      <c r="H633" s="89"/>
      <c r="I633" s="89"/>
      <c r="K633" s="157"/>
      <c r="L633" s="157"/>
      <c r="M633" s="158"/>
      <c r="O633" s="82">
        <f t="shared" si="76"/>
        <v>0</v>
      </c>
    </row>
    <row r="634" spans="1:15" s="5" customFormat="1" ht="16.149999999999999" customHeight="1" x14ac:dyDescent="0.2">
      <c r="A634" s="30"/>
      <c r="B634" s="105" t="s">
        <v>474</v>
      </c>
      <c r="C634" s="32"/>
      <c r="D634" s="32"/>
      <c r="E634" s="89"/>
      <c r="F634" s="89"/>
      <c r="G634" s="89"/>
      <c r="I634" s="89"/>
      <c r="K634" s="157"/>
      <c r="L634" s="157"/>
      <c r="M634" s="158"/>
      <c r="O634" s="82">
        <f t="shared" si="76"/>
        <v>0</v>
      </c>
    </row>
    <row r="635" spans="1:15" s="5" customFormat="1" ht="16.149999999999999" customHeight="1" x14ac:dyDescent="0.2">
      <c r="A635" s="30"/>
      <c r="B635" s="44" t="s">
        <v>494</v>
      </c>
      <c r="C635" s="41"/>
      <c r="D635" s="41">
        <f>2*5</f>
        <v>10</v>
      </c>
      <c r="E635" s="109">
        <v>6.6</v>
      </c>
      <c r="F635" s="109"/>
      <c r="G635" s="109">
        <v>3.1</v>
      </c>
      <c r="H635" s="89">
        <f>PRODUCT(D635:G635)</f>
        <v>204.6</v>
      </c>
      <c r="I635" s="89"/>
      <c r="K635" s="157"/>
      <c r="L635" s="157"/>
      <c r="M635" s="158"/>
      <c r="O635" s="82">
        <f t="shared" si="76"/>
        <v>0</v>
      </c>
    </row>
    <row r="636" spans="1:15" s="5" customFormat="1" ht="16.149999999999999" customHeight="1" x14ac:dyDescent="0.2">
      <c r="A636" s="30"/>
      <c r="B636" s="44"/>
      <c r="C636" s="41"/>
      <c r="D636" s="41">
        <f>2*5</f>
        <v>10</v>
      </c>
      <c r="E636" s="109">
        <v>8.6300000000000008</v>
      </c>
      <c r="F636" s="109"/>
      <c r="G636" s="109">
        <v>3.1</v>
      </c>
      <c r="H636" s="89">
        <f t="shared" ref="H636:H640" si="85">PRODUCT(D636:G636)</f>
        <v>267.53000000000003</v>
      </c>
      <c r="I636" s="89"/>
      <c r="K636" s="157"/>
      <c r="L636" s="157"/>
      <c r="M636" s="158"/>
      <c r="O636" s="82">
        <f t="shared" si="76"/>
        <v>0</v>
      </c>
    </row>
    <row r="637" spans="1:15" s="5" customFormat="1" ht="16.149999999999999" customHeight="1" x14ac:dyDescent="0.2">
      <c r="A637" s="30"/>
      <c r="B637" s="44"/>
      <c r="C637" s="41"/>
      <c r="D637" s="41">
        <v>4</v>
      </c>
      <c r="E637" s="109">
        <v>0.6</v>
      </c>
      <c r="F637" s="109"/>
      <c r="G637" s="109">
        <v>3.1</v>
      </c>
      <c r="H637" s="89">
        <f t="shared" si="85"/>
        <v>7.4399999999999995</v>
      </c>
      <c r="I637" s="89"/>
      <c r="K637" s="157"/>
      <c r="L637" s="157"/>
      <c r="M637" s="158"/>
      <c r="O637" s="82">
        <f t="shared" si="76"/>
        <v>0</v>
      </c>
    </row>
    <row r="638" spans="1:15" s="5" customFormat="1" ht="16.149999999999999" customHeight="1" x14ac:dyDescent="0.2">
      <c r="A638" s="30"/>
      <c r="B638" s="110" t="s">
        <v>480</v>
      </c>
      <c r="C638" s="41"/>
      <c r="D638" s="41"/>
      <c r="E638" s="109"/>
      <c r="F638" s="109"/>
      <c r="G638" s="109"/>
      <c r="H638" s="89">
        <f t="shared" si="85"/>
        <v>0</v>
      </c>
      <c r="I638" s="89"/>
      <c r="K638" s="157"/>
      <c r="L638" s="157"/>
      <c r="M638" s="158"/>
      <c r="O638" s="82">
        <f t="shared" si="76"/>
        <v>0</v>
      </c>
    </row>
    <row r="639" spans="1:15" ht="15.95" customHeight="1" x14ac:dyDescent="0.2">
      <c r="A639" s="30"/>
      <c r="B639" s="41" t="s">
        <v>424</v>
      </c>
      <c r="C639" s="41"/>
      <c r="D639" s="41">
        <v>-20</v>
      </c>
      <c r="E639" s="90">
        <v>0.9</v>
      </c>
      <c r="F639" s="90"/>
      <c r="G639" s="90">
        <v>1.2</v>
      </c>
      <c r="H639" s="89">
        <f t="shared" si="85"/>
        <v>-21.599999999999998</v>
      </c>
      <c r="I639" s="89"/>
      <c r="J639" s="90"/>
      <c r="K639" s="157"/>
      <c r="L639" s="157"/>
      <c r="M639" s="158"/>
      <c r="O639" s="82">
        <f t="shared" si="76"/>
        <v>0</v>
      </c>
    </row>
    <row r="640" spans="1:15" ht="15.95" customHeight="1" x14ac:dyDescent="0.2">
      <c r="A640" s="30"/>
      <c r="B640" s="41" t="s">
        <v>481</v>
      </c>
      <c r="C640" s="41"/>
      <c r="D640" s="41">
        <v>-5</v>
      </c>
      <c r="E640" s="90">
        <v>0.9</v>
      </c>
      <c r="F640" s="90"/>
      <c r="G640" s="90">
        <v>2.4</v>
      </c>
      <c r="H640" s="89">
        <f t="shared" si="85"/>
        <v>-10.799999999999999</v>
      </c>
      <c r="I640" s="89"/>
      <c r="J640" s="108"/>
      <c r="K640" s="157"/>
      <c r="L640" s="157"/>
      <c r="M640" s="158"/>
      <c r="O640" s="82">
        <f t="shared" si="76"/>
        <v>0</v>
      </c>
    </row>
    <row r="641" spans="1:15" s="5" customFormat="1" ht="16.149999999999999" customHeight="1" x14ac:dyDescent="0.2">
      <c r="A641" s="30"/>
      <c r="B641" s="44" t="s">
        <v>547</v>
      </c>
      <c r="C641" s="41"/>
      <c r="D641" s="41">
        <f>6*4</f>
        <v>24</v>
      </c>
      <c r="E641" s="109">
        <v>0.3</v>
      </c>
      <c r="F641" s="109"/>
      <c r="G641" s="109">
        <v>3.1</v>
      </c>
      <c r="H641" s="89">
        <f>PRODUCT(D641:G641)</f>
        <v>22.319999999999997</v>
      </c>
      <c r="I641" s="89"/>
      <c r="K641" s="157"/>
      <c r="L641" s="157"/>
      <c r="M641" s="158"/>
      <c r="O641" s="82">
        <f t="shared" si="76"/>
        <v>0</v>
      </c>
    </row>
    <row r="642" spans="1:15" s="5" customFormat="1" ht="16.149999999999999" customHeight="1" x14ac:dyDescent="0.2">
      <c r="A642" s="30"/>
      <c r="B642" s="44" t="s">
        <v>495</v>
      </c>
      <c r="C642" s="41"/>
      <c r="D642" s="41">
        <v>4</v>
      </c>
      <c r="E642" s="109">
        <v>3.95</v>
      </c>
      <c r="F642" s="109"/>
      <c r="G642" s="109">
        <v>3.1</v>
      </c>
      <c r="H642" s="89">
        <f>PRODUCT(D642:G642)</f>
        <v>48.980000000000004</v>
      </c>
      <c r="I642" s="89"/>
      <c r="K642" s="157"/>
      <c r="L642" s="157"/>
      <c r="M642" s="158"/>
      <c r="O642" s="82">
        <f t="shared" si="76"/>
        <v>0</v>
      </c>
    </row>
    <row r="643" spans="1:15" s="5" customFormat="1" ht="16.149999999999999" customHeight="1" x14ac:dyDescent="0.2">
      <c r="A643" s="30"/>
      <c r="B643" s="44"/>
      <c r="C643" s="41"/>
      <c r="D643" s="41">
        <v>2</v>
      </c>
      <c r="E643" s="109">
        <f>3.8-0.2*2</f>
        <v>3.4</v>
      </c>
      <c r="F643" s="109"/>
      <c r="G643" s="109">
        <v>3.1</v>
      </c>
      <c r="H643" s="89">
        <f t="shared" ref="H643:H644" si="86">PRODUCT(D643:G643)</f>
        <v>21.08</v>
      </c>
      <c r="I643" s="89"/>
      <c r="K643" s="157"/>
      <c r="L643" s="157"/>
      <c r="M643" s="158"/>
      <c r="O643" s="82">
        <f t="shared" si="76"/>
        <v>0</v>
      </c>
    </row>
    <row r="644" spans="1:15" s="5" customFormat="1" ht="16.149999999999999" customHeight="1" x14ac:dyDescent="0.2">
      <c r="A644" s="30"/>
      <c r="B644" s="44"/>
      <c r="C644" s="41"/>
      <c r="D644" s="41">
        <v>2</v>
      </c>
      <c r="E644" s="109">
        <v>2.5</v>
      </c>
      <c r="F644" s="109"/>
      <c r="G644" s="109">
        <v>3.1</v>
      </c>
      <c r="H644" s="89">
        <f t="shared" si="86"/>
        <v>15.5</v>
      </c>
      <c r="I644" s="89"/>
      <c r="K644" s="157"/>
      <c r="L644" s="157"/>
      <c r="M644" s="158"/>
      <c r="O644" s="82">
        <f t="shared" si="76"/>
        <v>0</v>
      </c>
    </row>
    <row r="645" spans="1:15" ht="15.95" customHeight="1" x14ac:dyDescent="0.2">
      <c r="A645" s="30"/>
      <c r="B645" s="46"/>
      <c r="C645" s="41"/>
      <c r="D645" s="41"/>
      <c r="E645" s="90"/>
      <c r="F645" s="90"/>
      <c r="G645" s="90"/>
      <c r="H645" s="89"/>
      <c r="I645" s="89"/>
      <c r="J645" s="108"/>
      <c r="K645" s="157"/>
      <c r="L645" s="157"/>
      <c r="M645" s="158"/>
      <c r="O645" s="82">
        <f t="shared" si="76"/>
        <v>0</v>
      </c>
    </row>
    <row r="646" spans="1:15" ht="15.95" customHeight="1" x14ac:dyDescent="0.2">
      <c r="A646" s="30"/>
      <c r="B646" s="46"/>
      <c r="C646" s="41"/>
      <c r="D646" s="41"/>
      <c r="E646" s="90"/>
      <c r="F646" s="90"/>
      <c r="G646" s="90"/>
      <c r="H646" s="89"/>
      <c r="I646" s="89"/>
      <c r="J646" s="108"/>
      <c r="K646" s="157"/>
      <c r="L646" s="157"/>
      <c r="M646" s="158"/>
      <c r="O646" s="82">
        <f t="shared" ref="O646:O709" si="87">K646-J646</f>
        <v>0</v>
      </c>
    </row>
    <row r="647" spans="1:15" ht="15.95" customHeight="1" x14ac:dyDescent="0.2">
      <c r="A647" s="30"/>
      <c r="B647" s="105" t="s">
        <v>475</v>
      </c>
      <c r="C647" s="41"/>
      <c r="D647" s="41"/>
      <c r="E647" s="90"/>
      <c r="F647" s="90"/>
      <c r="G647" s="90"/>
      <c r="H647" s="89">
        <f t="shared" ref="H647:I647" si="88">PRODUCT(D647:G647)</f>
        <v>0</v>
      </c>
      <c r="I647" s="89">
        <f t="shared" si="88"/>
        <v>0</v>
      </c>
      <c r="J647" s="90"/>
      <c r="K647" s="157"/>
      <c r="L647" s="157"/>
      <c r="M647" s="158"/>
      <c r="O647" s="82">
        <f t="shared" si="87"/>
        <v>0</v>
      </c>
    </row>
    <row r="648" spans="1:15" s="5" customFormat="1" ht="16.149999999999999" customHeight="1" x14ac:dyDescent="0.2">
      <c r="A648" s="30"/>
      <c r="B648" s="44" t="s">
        <v>494</v>
      </c>
      <c r="C648" s="41"/>
      <c r="D648" s="41">
        <f>2*5</f>
        <v>10</v>
      </c>
      <c r="E648" s="109">
        <v>6.6</v>
      </c>
      <c r="F648" s="109"/>
      <c r="G648" s="109">
        <v>3.1</v>
      </c>
      <c r="H648" s="89">
        <f>PRODUCT(D648:G648)</f>
        <v>204.6</v>
      </c>
      <c r="I648" s="89"/>
      <c r="K648" s="157"/>
      <c r="L648" s="157"/>
      <c r="M648" s="158"/>
      <c r="O648" s="82">
        <f t="shared" si="87"/>
        <v>0</v>
      </c>
    </row>
    <row r="649" spans="1:15" s="5" customFormat="1" ht="16.149999999999999" customHeight="1" x14ac:dyDescent="0.2">
      <c r="A649" s="30"/>
      <c r="B649" s="44"/>
      <c r="C649" s="41"/>
      <c r="D649" s="41">
        <f>2*5</f>
        <v>10</v>
      </c>
      <c r="E649" s="109">
        <v>8.6300000000000008</v>
      </c>
      <c r="F649" s="109"/>
      <c r="G649" s="109">
        <v>3.1</v>
      </c>
      <c r="H649" s="89">
        <f t="shared" ref="H649:H653" si="89">PRODUCT(D649:G649)</f>
        <v>267.53000000000003</v>
      </c>
      <c r="I649" s="89"/>
      <c r="K649" s="157"/>
      <c r="L649" s="157"/>
      <c r="M649" s="158"/>
      <c r="O649" s="82">
        <f t="shared" si="87"/>
        <v>0</v>
      </c>
    </row>
    <row r="650" spans="1:15" s="5" customFormat="1" ht="16.149999999999999" customHeight="1" x14ac:dyDescent="0.2">
      <c r="A650" s="30"/>
      <c r="B650" s="44"/>
      <c r="C650" s="41"/>
      <c r="D650" s="41">
        <v>4</v>
      </c>
      <c r="E650" s="109">
        <v>0.6</v>
      </c>
      <c r="F650" s="109"/>
      <c r="G650" s="109">
        <v>3.1</v>
      </c>
      <c r="H650" s="89">
        <f t="shared" si="89"/>
        <v>7.4399999999999995</v>
      </c>
      <c r="I650" s="89"/>
      <c r="K650" s="157"/>
      <c r="L650" s="157"/>
      <c r="M650" s="158"/>
      <c r="O650" s="82">
        <f t="shared" si="87"/>
        <v>0</v>
      </c>
    </row>
    <row r="651" spans="1:15" s="5" customFormat="1" ht="16.149999999999999" customHeight="1" x14ac:dyDescent="0.2">
      <c r="A651" s="30"/>
      <c r="B651" s="110" t="s">
        <v>480</v>
      </c>
      <c r="C651" s="41"/>
      <c r="D651" s="41"/>
      <c r="E651" s="109"/>
      <c r="F651" s="109"/>
      <c r="G651" s="109"/>
      <c r="H651" s="89">
        <f t="shared" si="89"/>
        <v>0</v>
      </c>
      <c r="I651" s="89"/>
      <c r="K651" s="157"/>
      <c r="L651" s="157"/>
      <c r="M651" s="158"/>
      <c r="O651" s="82">
        <f t="shared" si="87"/>
        <v>0</v>
      </c>
    </row>
    <row r="652" spans="1:15" ht="15.95" customHeight="1" x14ac:dyDescent="0.2">
      <c r="A652" s="30"/>
      <c r="B652" s="41" t="s">
        <v>424</v>
      </c>
      <c r="C652" s="41"/>
      <c r="D652" s="41">
        <v>-20</v>
      </c>
      <c r="E652" s="90">
        <v>0.9</v>
      </c>
      <c r="F652" s="90"/>
      <c r="G652" s="90">
        <v>1.2</v>
      </c>
      <c r="H652" s="89">
        <f t="shared" si="89"/>
        <v>-21.599999999999998</v>
      </c>
      <c r="I652" s="89"/>
      <c r="J652" s="90"/>
      <c r="K652" s="157"/>
      <c r="L652" s="157"/>
      <c r="M652" s="158"/>
      <c r="O652" s="82">
        <f t="shared" si="87"/>
        <v>0</v>
      </c>
    </row>
    <row r="653" spans="1:15" ht="15.95" customHeight="1" x14ac:dyDescent="0.2">
      <c r="A653" s="30"/>
      <c r="B653" s="41" t="s">
        <v>481</v>
      </c>
      <c r="C653" s="41"/>
      <c r="D653" s="41">
        <v>-5</v>
      </c>
      <c r="E653" s="90">
        <v>0.9</v>
      </c>
      <c r="F653" s="90"/>
      <c r="G653" s="90">
        <v>2.4</v>
      </c>
      <c r="H653" s="89">
        <f t="shared" si="89"/>
        <v>-10.799999999999999</v>
      </c>
      <c r="I653" s="89"/>
      <c r="J653" s="108"/>
      <c r="K653" s="157"/>
      <c r="L653" s="157"/>
      <c r="M653" s="158"/>
      <c r="O653" s="82">
        <f t="shared" si="87"/>
        <v>0</v>
      </c>
    </row>
    <row r="654" spans="1:15" s="5" customFormat="1" ht="16.149999999999999" customHeight="1" x14ac:dyDescent="0.2">
      <c r="A654" s="30"/>
      <c r="B654" s="44" t="s">
        <v>495</v>
      </c>
      <c r="C654" s="41"/>
      <c r="D654" s="41">
        <v>4</v>
      </c>
      <c r="E654" s="109">
        <v>3.95</v>
      </c>
      <c r="F654" s="109"/>
      <c r="G654" s="109">
        <v>3.1</v>
      </c>
      <c r="H654" s="89">
        <f>PRODUCT(D654:G654)</f>
        <v>48.980000000000004</v>
      </c>
      <c r="I654" s="89"/>
      <c r="K654" s="157"/>
      <c r="L654" s="157"/>
      <c r="M654" s="158"/>
      <c r="O654" s="82">
        <f t="shared" si="87"/>
        <v>0</v>
      </c>
    </row>
    <row r="655" spans="1:15" s="5" customFormat="1" ht="16.149999999999999" customHeight="1" x14ac:dyDescent="0.2">
      <c r="A655" s="30"/>
      <c r="B655" s="44"/>
      <c r="C655" s="41"/>
      <c r="D655" s="41">
        <v>2</v>
      </c>
      <c r="E655" s="109">
        <f>3.8-0.2*2</f>
        <v>3.4</v>
      </c>
      <c r="F655" s="109"/>
      <c r="G655" s="109">
        <v>3.1</v>
      </c>
      <c r="H655" s="89">
        <f t="shared" ref="H655:H656" si="90">PRODUCT(D655:G655)</f>
        <v>21.08</v>
      </c>
      <c r="I655" s="89"/>
      <c r="K655" s="157"/>
      <c r="L655" s="157"/>
      <c r="M655" s="158"/>
      <c r="O655" s="82">
        <f t="shared" si="87"/>
        <v>0</v>
      </c>
    </row>
    <row r="656" spans="1:15" s="5" customFormat="1" ht="16.149999999999999" customHeight="1" x14ac:dyDescent="0.2">
      <c r="A656" s="30"/>
      <c r="B656" s="44"/>
      <c r="C656" s="41"/>
      <c r="D656" s="41">
        <v>2</v>
      </c>
      <c r="E656" s="109">
        <v>2.5</v>
      </c>
      <c r="F656" s="109"/>
      <c r="G656" s="109">
        <v>3.1</v>
      </c>
      <c r="H656" s="89">
        <f t="shared" si="90"/>
        <v>15.5</v>
      </c>
      <c r="I656" s="89"/>
      <c r="K656" s="157"/>
      <c r="L656" s="157"/>
      <c r="M656" s="158"/>
      <c r="O656" s="82">
        <f t="shared" si="87"/>
        <v>0</v>
      </c>
    </row>
    <row r="657" spans="1:15" ht="15.95" customHeight="1" x14ac:dyDescent="0.2">
      <c r="A657" s="30"/>
      <c r="B657" s="46"/>
      <c r="C657" s="41"/>
      <c r="D657" s="41"/>
      <c r="E657" s="90"/>
      <c r="F657" s="90"/>
      <c r="G657" s="90"/>
      <c r="H657" s="89"/>
      <c r="I657" s="89">
        <f>SUM(H634:H656)</f>
        <v>1087.78</v>
      </c>
      <c r="J657" s="108"/>
      <c r="K657" s="157"/>
      <c r="L657" s="157"/>
      <c r="M657" s="158"/>
      <c r="O657" s="82">
        <f t="shared" si="87"/>
        <v>0</v>
      </c>
    </row>
    <row r="658" spans="1:15" ht="15.95" customHeight="1" x14ac:dyDescent="0.2">
      <c r="A658" s="30"/>
      <c r="B658" s="46"/>
      <c r="C658" s="41"/>
      <c r="D658" s="41"/>
      <c r="E658" s="90"/>
      <c r="F658" s="90"/>
      <c r="G658" s="90"/>
      <c r="H658" s="89"/>
      <c r="I658" s="89">
        <f t="shared" ref="I658" si="91">PRODUCT(E658:H658)</f>
        <v>0</v>
      </c>
      <c r="J658" s="90"/>
      <c r="K658" s="157"/>
      <c r="L658" s="157"/>
      <c r="M658" s="158"/>
      <c r="O658" s="82">
        <f t="shared" si="87"/>
        <v>0</v>
      </c>
    </row>
    <row r="659" spans="1:15" s="5" customFormat="1" ht="16.149999999999999" customHeight="1" x14ac:dyDescent="0.2">
      <c r="A659" s="30"/>
      <c r="B659" s="98" t="s">
        <v>465</v>
      </c>
      <c r="C659" s="32"/>
      <c r="D659" s="32"/>
      <c r="E659" s="89"/>
      <c r="F659" s="89"/>
      <c r="G659" s="89"/>
      <c r="H659" s="89">
        <f t="shared" ref="H659:H664" si="92">PRODUCT(D659:G659)</f>
        <v>0</v>
      </c>
      <c r="I659" s="89"/>
      <c r="J659" s="89"/>
      <c r="K659" s="157"/>
      <c r="L659" s="157"/>
      <c r="M659" s="158"/>
      <c r="O659" s="82">
        <f t="shared" si="87"/>
        <v>0</v>
      </c>
    </row>
    <row r="660" spans="1:15" s="5" customFormat="1" ht="16.149999999999999" customHeight="1" x14ac:dyDescent="0.2">
      <c r="A660" s="30"/>
      <c r="B660" s="44" t="s">
        <v>485</v>
      </c>
      <c r="C660" s="41"/>
      <c r="D660" s="41">
        <v>2</v>
      </c>
      <c r="E660" s="109">
        <v>5.0999999999999996</v>
      </c>
      <c r="F660" s="109"/>
      <c r="G660" s="109">
        <v>3.1</v>
      </c>
      <c r="H660" s="89">
        <f t="shared" si="92"/>
        <v>31.619999999999997</v>
      </c>
      <c r="I660" s="89"/>
      <c r="K660" s="157"/>
      <c r="L660" s="157"/>
      <c r="M660" s="158"/>
      <c r="O660" s="82">
        <f t="shared" si="87"/>
        <v>0</v>
      </c>
    </row>
    <row r="661" spans="1:15" ht="15.95" customHeight="1" x14ac:dyDescent="0.2">
      <c r="A661" s="30"/>
      <c r="B661" s="46"/>
      <c r="C661" s="41"/>
      <c r="D661" s="41">
        <v>2</v>
      </c>
      <c r="E661" s="90">
        <v>3.1</v>
      </c>
      <c r="F661" s="90"/>
      <c r="G661" s="109">
        <v>3.1</v>
      </c>
      <c r="H661" s="89">
        <f t="shared" si="92"/>
        <v>19.220000000000002</v>
      </c>
      <c r="I661" s="90"/>
      <c r="J661" s="90"/>
      <c r="K661" s="157"/>
      <c r="L661" s="157"/>
      <c r="M661" s="158"/>
      <c r="O661" s="82">
        <f t="shared" si="87"/>
        <v>0</v>
      </c>
    </row>
    <row r="662" spans="1:15" s="5" customFormat="1" ht="16.149999999999999" customHeight="1" x14ac:dyDescent="0.2">
      <c r="A662" s="30"/>
      <c r="B662" s="110" t="s">
        <v>480</v>
      </c>
      <c r="C662" s="41"/>
      <c r="D662" s="41"/>
      <c r="E662" s="109"/>
      <c r="F662" s="109"/>
      <c r="G662" s="109"/>
      <c r="H662" s="89">
        <f t="shared" si="92"/>
        <v>0</v>
      </c>
      <c r="I662" s="89"/>
      <c r="K662" s="157"/>
      <c r="L662" s="157"/>
      <c r="M662" s="158"/>
      <c r="O662" s="82">
        <f t="shared" si="87"/>
        <v>0</v>
      </c>
    </row>
    <row r="663" spans="1:15" ht="15.95" customHeight="1" x14ac:dyDescent="0.2">
      <c r="A663" s="30"/>
      <c r="B663" s="41" t="s">
        <v>424</v>
      </c>
      <c r="C663" s="41"/>
      <c r="D663" s="41">
        <v>-3</v>
      </c>
      <c r="E663" s="90">
        <v>0.9</v>
      </c>
      <c r="F663" s="90"/>
      <c r="G663" s="90">
        <v>1.2</v>
      </c>
      <c r="H663" s="89">
        <f t="shared" si="92"/>
        <v>-3.24</v>
      </c>
      <c r="I663" s="89"/>
      <c r="J663" s="90"/>
      <c r="K663" s="157"/>
      <c r="L663" s="157"/>
      <c r="M663" s="158"/>
      <c r="O663" s="82">
        <f t="shared" si="87"/>
        <v>0</v>
      </c>
    </row>
    <row r="664" spans="1:15" ht="15.95" customHeight="1" x14ac:dyDescent="0.2">
      <c r="A664" s="30"/>
      <c r="B664" s="41" t="s">
        <v>481</v>
      </c>
      <c r="C664" s="41"/>
      <c r="D664" s="41">
        <v>-1</v>
      </c>
      <c r="E664" s="90">
        <v>0.9</v>
      </c>
      <c r="F664" s="90"/>
      <c r="G664" s="90">
        <v>2.2000000000000002</v>
      </c>
      <c r="H664" s="89">
        <f t="shared" si="92"/>
        <v>-1.9800000000000002</v>
      </c>
      <c r="I664" s="89"/>
      <c r="J664" s="108"/>
      <c r="K664" s="157"/>
      <c r="L664" s="157"/>
      <c r="M664" s="158"/>
      <c r="O664" s="82">
        <f t="shared" si="87"/>
        <v>0</v>
      </c>
    </row>
    <row r="665" spans="1:15" ht="15.95" customHeight="1" x14ac:dyDescent="0.2">
      <c r="A665" s="30"/>
      <c r="B665" s="41"/>
      <c r="C665" s="41"/>
      <c r="D665" s="41"/>
      <c r="E665" s="90"/>
      <c r="F665" s="90"/>
      <c r="G665" s="90"/>
      <c r="H665" s="89"/>
      <c r="I665" s="89"/>
      <c r="J665" s="108"/>
      <c r="K665" s="157"/>
      <c r="L665" s="157"/>
      <c r="M665" s="158"/>
      <c r="O665" s="82">
        <f t="shared" si="87"/>
        <v>0</v>
      </c>
    </row>
    <row r="666" spans="1:15" s="5" customFormat="1" ht="16.149999999999999" customHeight="1" x14ac:dyDescent="0.2">
      <c r="A666" s="30"/>
      <c r="B666" s="44" t="s">
        <v>487</v>
      </c>
      <c r="C666" s="41"/>
      <c r="D666" s="41">
        <v>4</v>
      </c>
      <c r="E666" s="109">
        <v>2.1</v>
      </c>
      <c r="F666" s="109"/>
      <c r="G666" s="109">
        <f>3.1-2.3</f>
        <v>0.80000000000000027</v>
      </c>
      <c r="H666" s="89">
        <f t="shared" ref="H666:H667" si="93">PRODUCT(D666:G666)</f>
        <v>6.7200000000000024</v>
      </c>
      <c r="I666" s="89"/>
      <c r="K666" s="157"/>
      <c r="L666" s="157"/>
      <c r="M666" s="158"/>
      <c r="O666" s="82">
        <f t="shared" si="87"/>
        <v>0</v>
      </c>
    </row>
    <row r="667" spans="1:15" ht="15.95" customHeight="1" x14ac:dyDescent="0.2">
      <c r="A667" s="30"/>
      <c r="B667" s="46"/>
      <c r="C667" s="41"/>
      <c r="D667" s="41">
        <v>4</v>
      </c>
      <c r="E667" s="90">
        <v>1.9</v>
      </c>
      <c r="F667" s="90"/>
      <c r="G667" s="109">
        <f>3.1-2.3</f>
        <v>0.80000000000000027</v>
      </c>
      <c r="H667" s="89">
        <f t="shared" si="93"/>
        <v>6.0800000000000018</v>
      </c>
      <c r="I667" s="90"/>
      <c r="J667" s="90"/>
      <c r="K667" s="157"/>
      <c r="L667" s="157"/>
      <c r="M667" s="158"/>
      <c r="O667" s="82">
        <f t="shared" si="87"/>
        <v>0</v>
      </c>
    </row>
    <row r="668" spans="1:15" ht="15.95" customHeight="1" x14ac:dyDescent="0.2">
      <c r="A668" s="30"/>
      <c r="B668" s="46"/>
      <c r="C668" s="41"/>
      <c r="D668" s="41"/>
      <c r="E668" s="90"/>
      <c r="F668" s="90"/>
      <c r="G668" s="90"/>
      <c r="H668" s="89"/>
      <c r="I668" s="90"/>
      <c r="J668" s="90"/>
      <c r="K668" s="157"/>
      <c r="L668" s="157"/>
      <c r="M668" s="158"/>
      <c r="O668" s="82">
        <f t="shared" si="87"/>
        <v>0</v>
      </c>
    </row>
    <row r="669" spans="1:15" s="5" customFormat="1" ht="16.149999999999999" customHeight="1" x14ac:dyDescent="0.2">
      <c r="A669" s="30"/>
      <c r="B669" s="44" t="s">
        <v>488</v>
      </c>
      <c r="C669" s="41"/>
      <c r="D669" s="41">
        <v>2</v>
      </c>
      <c r="E669" s="109">
        <v>5</v>
      </c>
      <c r="F669" s="109"/>
      <c r="G669" s="109">
        <v>3.1</v>
      </c>
      <c r="H669" s="89">
        <f t="shared" ref="H669:H688" si="94">PRODUCT(D669:G669)</f>
        <v>31</v>
      </c>
      <c r="I669" s="89"/>
      <c r="K669" s="157"/>
      <c r="L669" s="157"/>
      <c r="M669" s="158"/>
      <c r="O669" s="82">
        <f t="shared" si="87"/>
        <v>0</v>
      </c>
    </row>
    <row r="670" spans="1:15" ht="15.95" customHeight="1" x14ac:dyDescent="0.2">
      <c r="A670" s="30"/>
      <c r="B670" s="46"/>
      <c r="C670" s="41"/>
      <c r="D670" s="41">
        <v>2</v>
      </c>
      <c r="E670" s="90">
        <v>2.5</v>
      </c>
      <c r="F670" s="90"/>
      <c r="G670" s="109">
        <v>3.1</v>
      </c>
      <c r="H670" s="89">
        <f t="shared" si="94"/>
        <v>15.5</v>
      </c>
      <c r="I670" s="90"/>
      <c r="J670" s="90"/>
      <c r="K670" s="157"/>
      <c r="L670" s="157"/>
      <c r="M670" s="158"/>
      <c r="O670" s="82">
        <f t="shared" si="87"/>
        <v>0</v>
      </c>
    </row>
    <row r="671" spans="1:15" s="5" customFormat="1" ht="16.149999999999999" customHeight="1" x14ac:dyDescent="0.2">
      <c r="A671" s="30"/>
      <c r="B671" s="110" t="s">
        <v>480</v>
      </c>
      <c r="C671" s="41"/>
      <c r="D671" s="41"/>
      <c r="E671" s="109"/>
      <c r="F671" s="109"/>
      <c r="G671" s="109"/>
      <c r="H671" s="89">
        <f t="shared" si="94"/>
        <v>0</v>
      </c>
      <c r="I671" s="89"/>
      <c r="K671" s="157"/>
      <c r="L671" s="157"/>
      <c r="M671" s="158"/>
      <c r="O671" s="82">
        <f t="shared" si="87"/>
        <v>0</v>
      </c>
    </row>
    <row r="672" spans="1:15" ht="15.95" customHeight="1" x14ac:dyDescent="0.2">
      <c r="A672" s="30"/>
      <c r="B672" s="41" t="s">
        <v>424</v>
      </c>
      <c r="C672" s="41"/>
      <c r="D672" s="41">
        <v>-1</v>
      </c>
      <c r="E672" s="90">
        <v>0.9</v>
      </c>
      <c r="F672" s="90"/>
      <c r="G672" s="90">
        <v>1.2</v>
      </c>
      <c r="H672" s="89">
        <f t="shared" si="94"/>
        <v>-1.08</v>
      </c>
      <c r="I672" s="89"/>
      <c r="J672" s="90"/>
      <c r="K672" s="157"/>
      <c r="L672" s="157"/>
      <c r="M672" s="158"/>
      <c r="O672" s="82">
        <f t="shared" si="87"/>
        <v>0</v>
      </c>
    </row>
    <row r="673" spans="1:15" ht="15.95" customHeight="1" x14ac:dyDescent="0.2">
      <c r="A673" s="30"/>
      <c r="B673" s="41" t="s">
        <v>481</v>
      </c>
      <c r="C673" s="41"/>
      <c r="D673" s="41">
        <v>-2</v>
      </c>
      <c r="E673" s="90">
        <v>0.9</v>
      </c>
      <c r="F673" s="90"/>
      <c r="G673" s="90">
        <v>2.2000000000000002</v>
      </c>
      <c r="H673" s="89">
        <f t="shared" si="94"/>
        <v>-3.9600000000000004</v>
      </c>
      <c r="I673" s="89"/>
      <c r="J673" s="108"/>
      <c r="K673" s="157"/>
      <c r="L673" s="157"/>
      <c r="M673" s="158"/>
      <c r="O673" s="82">
        <f t="shared" si="87"/>
        <v>0</v>
      </c>
    </row>
    <row r="674" spans="1:15" ht="15.95" customHeight="1" x14ac:dyDescent="0.2">
      <c r="A674" s="30"/>
      <c r="B674" s="41"/>
      <c r="C674" s="41"/>
      <c r="D674" s="41"/>
      <c r="E674" s="90"/>
      <c r="F674" s="90"/>
      <c r="G674" s="90"/>
      <c r="H674" s="89"/>
      <c r="I674" s="89"/>
      <c r="J674" s="108"/>
      <c r="K674" s="157"/>
      <c r="L674" s="157"/>
      <c r="M674" s="158"/>
      <c r="O674" s="82">
        <f t="shared" si="87"/>
        <v>0</v>
      </c>
    </row>
    <row r="675" spans="1:15" s="5" customFormat="1" ht="16.149999999999999" customHeight="1" x14ac:dyDescent="0.2">
      <c r="A675" s="30"/>
      <c r="B675" s="44" t="s">
        <v>479</v>
      </c>
      <c r="C675" s="41"/>
      <c r="D675" s="41">
        <v>2</v>
      </c>
      <c r="E675" s="109">
        <v>4.3</v>
      </c>
      <c r="F675" s="109"/>
      <c r="G675" s="109">
        <f>3+0.1+0.25-0.45</f>
        <v>2.9</v>
      </c>
      <c r="H675" s="89">
        <f t="shared" si="94"/>
        <v>24.939999999999998</v>
      </c>
      <c r="I675" s="89"/>
      <c r="K675" s="157"/>
      <c r="L675" s="157"/>
      <c r="M675" s="158"/>
      <c r="O675" s="82">
        <f t="shared" si="87"/>
        <v>0</v>
      </c>
    </row>
    <row r="676" spans="1:15" ht="15.95" customHeight="1" x14ac:dyDescent="0.2">
      <c r="A676" s="30"/>
      <c r="B676" s="46"/>
      <c r="C676" s="41"/>
      <c r="D676" s="41">
        <v>2</v>
      </c>
      <c r="E676" s="90">
        <v>2.9</v>
      </c>
      <c r="F676" s="90"/>
      <c r="G676" s="109">
        <f>3+0.1+0.25-0.45</f>
        <v>2.9</v>
      </c>
      <c r="H676" s="89">
        <f t="shared" si="94"/>
        <v>16.82</v>
      </c>
      <c r="I676" s="90"/>
      <c r="J676" s="90"/>
      <c r="K676" s="157"/>
      <c r="L676" s="157"/>
      <c r="M676" s="158"/>
      <c r="O676" s="82">
        <f t="shared" si="87"/>
        <v>0</v>
      </c>
    </row>
    <row r="677" spans="1:15" s="5" customFormat="1" ht="16.149999999999999" customHeight="1" x14ac:dyDescent="0.2">
      <c r="A677" s="30"/>
      <c r="B677" s="110" t="s">
        <v>480</v>
      </c>
      <c r="C677" s="41"/>
      <c r="D677" s="41"/>
      <c r="E677" s="109"/>
      <c r="F677" s="109"/>
      <c r="G677" s="109"/>
      <c r="H677" s="89">
        <f t="shared" si="94"/>
        <v>0</v>
      </c>
      <c r="I677" s="89"/>
      <c r="K677" s="157"/>
      <c r="L677" s="157"/>
      <c r="M677" s="158"/>
      <c r="O677" s="82">
        <f t="shared" si="87"/>
        <v>0</v>
      </c>
    </row>
    <row r="678" spans="1:15" ht="15.95" customHeight="1" x14ac:dyDescent="0.2">
      <c r="A678" s="30"/>
      <c r="B678" s="41" t="s">
        <v>424</v>
      </c>
      <c r="C678" s="41"/>
      <c r="D678" s="41">
        <v>-1</v>
      </c>
      <c r="E678" s="90">
        <v>0.9</v>
      </c>
      <c r="F678" s="90"/>
      <c r="G678" s="90">
        <v>1.2</v>
      </c>
      <c r="H678" s="89">
        <f t="shared" si="94"/>
        <v>-1.08</v>
      </c>
      <c r="I678" s="89"/>
      <c r="J678" s="90"/>
      <c r="K678" s="157"/>
      <c r="L678" s="157"/>
      <c r="M678" s="158"/>
      <c r="O678" s="82">
        <f t="shared" si="87"/>
        <v>0</v>
      </c>
    </row>
    <row r="679" spans="1:15" ht="15.95" customHeight="1" x14ac:dyDescent="0.2">
      <c r="A679" s="30"/>
      <c r="B679" s="41" t="s">
        <v>481</v>
      </c>
      <c r="C679" s="41"/>
      <c r="D679" s="41">
        <v>-1</v>
      </c>
      <c r="E679" s="90">
        <v>0.9</v>
      </c>
      <c r="F679" s="90"/>
      <c r="G679" s="90">
        <v>2.2000000000000002</v>
      </c>
      <c r="H679" s="89">
        <f t="shared" si="94"/>
        <v>-1.9800000000000002</v>
      </c>
      <c r="I679" s="89"/>
      <c r="J679" s="108"/>
      <c r="K679" s="157"/>
      <c r="L679" s="157"/>
      <c r="M679" s="158"/>
      <c r="O679" s="82">
        <f t="shared" si="87"/>
        <v>0</v>
      </c>
    </row>
    <row r="680" spans="1:15" ht="15.95" customHeight="1" x14ac:dyDescent="0.2">
      <c r="A680" s="30"/>
      <c r="B680" s="41"/>
      <c r="C680" s="41"/>
      <c r="D680" s="41"/>
      <c r="E680" s="90"/>
      <c r="F680" s="90"/>
      <c r="G680" s="90"/>
      <c r="H680" s="89"/>
      <c r="I680" s="89"/>
      <c r="J680" s="108"/>
      <c r="K680" s="157"/>
      <c r="L680" s="157"/>
      <c r="M680" s="158"/>
      <c r="O680" s="82">
        <f t="shared" si="87"/>
        <v>0</v>
      </c>
    </row>
    <row r="681" spans="1:15" s="5" customFormat="1" ht="16.149999999999999" customHeight="1" x14ac:dyDescent="0.2">
      <c r="A681" s="30"/>
      <c r="B681" s="44" t="s">
        <v>496</v>
      </c>
      <c r="C681" s="41"/>
      <c r="D681" s="41">
        <v>2</v>
      </c>
      <c r="E681" s="109">
        <v>2</v>
      </c>
      <c r="F681" s="109"/>
      <c r="G681" s="109">
        <v>3.1</v>
      </c>
      <c r="H681" s="89">
        <f t="shared" si="94"/>
        <v>12.4</v>
      </c>
      <c r="I681" s="89"/>
      <c r="K681" s="157"/>
      <c r="L681" s="157"/>
      <c r="M681" s="158"/>
      <c r="O681" s="82">
        <f t="shared" si="87"/>
        <v>0</v>
      </c>
    </row>
    <row r="682" spans="1:15" s="5" customFormat="1" ht="16.149999999999999" customHeight="1" x14ac:dyDescent="0.2">
      <c r="A682" s="30"/>
      <c r="B682" s="44"/>
      <c r="C682" s="41"/>
      <c r="D682" s="41">
        <v>2</v>
      </c>
      <c r="E682" s="109">
        <v>3.6</v>
      </c>
      <c r="F682" s="109"/>
      <c r="G682" s="109">
        <v>3.1</v>
      </c>
      <c r="H682" s="89">
        <f t="shared" si="94"/>
        <v>22.32</v>
      </c>
      <c r="I682" s="89"/>
      <c r="K682" s="157"/>
      <c r="L682" s="157"/>
      <c r="M682" s="158"/>
      <c r="O682" s="82">
        <f t="shared" si="87"/>
        <v>0</v>
      </c>
    </row>
    <row r="683" spans="1:15" s="5" customFormat="1" ht="16.149999999999999" customHeight="1" x14ac:dyDescent="0.2">
      <c r="A683" s="30"/>
      <c r="B683" s="44"/>
      <c r="C683" s="41"/>
      <c r="D683" s="41">
        <v>2</v>
      </c>
      <c r="E683" s="109">
        <v>4.3</v>
      </c>
      <c r="F683" s="109"/>
      <c r="G683" s="109">
        <v>3.1</v>
      </c>
      <c r="H683" s="89">
        <f t="shared" ref="H683:H684" si="95">PRODUCT(D683:G683)</f>
        <v>26.66</v>
      </c>
      <c r="I683" s="89"/>
      <c r="K683" s="157"/>
      <c r="L683" s="157"/>
      <c r="M683" s="158"/>
      <c r="O683" s="82">
        <f t="shared" si="87"/>
        <v>0</v>
      </c>
    </row>
    <row r="684" spans="1:15" s="5" customFormat="1" ht="16.149999999999999" customHeight="1" x14ac:dyDescent="0.2">
      <c r="A684" s="30"/>
      <c r="B684" s="44"/>
      <c r="C684" s="41"/>
      <c r="D684" s="41">
        <v>2</v>
      </c>
      <c r="E684" s="109">
        <v>1.3</v>
      </c>
      <c r="F684" s="109"/>
      <c r="G684" s="109">
        <v>3.1</v>
      </c>
      <c r="H684" s="89">
        <f t="shared" si="95"/>
        <v>8.06</v>
      </c>
      <c r="I684" s="89"/>
      <c r="K684" s="157"/>
      <c r="L684" s="157"/>
      <c r="M684" s="158"/>
      <c r="O684" s="82">
        <f t="shared" si="87"/>
        <v>0</v>
      </c>
    </row>
    <row r="685" spans="1:15" s="5" customFormat="1" ht="16.149999999999999" customHeight="1" x14ac:dyDescent="0.2">
      <c r="A685" s="30"/>
      <c r="B685" s="110" t="s">
        <v>480</v>
      </c>
      <c r="C685" s="41"/>
      <c r="D685" s="41"/>
      <c r="E685" s="109"/>
      <c r="F685" s="109"/>
      <c r="G685" s="109"/>
      <c r="H685" s="89"/>
      <c r="I685" s="89"/>
      <c r="K685" s="157"/>
      <c r="L685" s="157"/>
      <c r="M685" s="158"/>
      <c r="O685" s="82">
        <f t="shared" si="87"/>
        <v>0</v>
      </c>
    </row>
    <row r="686" spans="1:15" ht="15.95" customHeight="1" x14ac:dyDescent="0.2">
      <c r="A686" s="30"/>
      <c r="B686" s="41" t="s">
        <v>481</v>
      </c>
      <c r="C686" s="41"/>
      <c r="D686" s="41">
        <v>-1</v>
      </c>
      <c r="E686" s="90">
        <v>2</v>
      </c>
      <c r="F686" s="90"/>
      <c r="G686" s="90">
        <v>2.2000000000000002</v>
      </c>
      <c r="H686" s="89">
        <f t="shared" si="94"/>
        <v>-4.4000000000000004</v>
      </c>
      <c r="I686" s="89"/>
      <c r="J686" s="108"/>
      <c r="K686" s="157"/>
      <c r="L686" s="157"/>
      <c r="M686" s="158"/>
      <c r="O686" s="82">
        <f t="shared" si="87"/>
        <v>0</v>
      </c>
    </row>
    <row r="687" spans="1:15" ht="15.95" customHeight="1" x14ac:dyDescent="0.2">
      <c r="A687" s="30"/>
      <c r="B687" s="41" t="s">
        <v>481</v>
      </c>
      <c r="C687" s="41"/>
      <c r="D687" s="41">
        <v>-3</v>
      </c>
      <c r="E687" s="90">
        <v>0.9</v>
      </c>
      <c r="F687" s="90"/>
      <c r="G687" s="90">
        <v>2.2000000000000002</v>
      </c>
      <c r="H687" s="89">
        <f t="shared" si="94"/>
        <v>-5.9400000000000013</v>
      </c>
      <c r="I687" s="89"/>
      <c r="J687" s="108"/>
      <c r="K687" s="157"/>
      <c r="L687" s="157"/>
      <c r="M687" s="158"/>
      <c r="O687" s="82">
        <f t="shared" si="87"/>
        <v>0</v>
      </c>
    </row>
    <row r="688" spans="1:15" ht="15.95" customHeight="1" x14ac:dyDescent="0.2">
      <c r="A688" s="30"/>
      <c r="B688" s="41"/>
      <c r="C688" s="41"/>
      <c r="D688" s="41">
        <v>-2</v>
      </c>
      <c r="E688" s="90">
        <v>0.8</v>
      </c>
      <c r="F688" s="90"/>
      <c r="G688" s="90">
        <v>2.2000000000000002</v>
      </c>
      <c r="H688" s="89">
        <f t="shared" si="94"/>
        <v>-3.5200000000000005</v>
      </c>
      <c r="I688" s="89"/>
      <c r="J688" s="108"/>
      <c r="K688" s="157"/>
      <c r="L688" s="157"/>
      <c r="M688" s="158"/>
      <c r="O688" s="82">
        <f t="shared" si="87"/>
        <v>0</v>
      </c>
    </row>
    <row r="689" spans="1:15" ht="15.95" customHeight="1" x14ac:dyDescent="0.2">
      <c r="A689" s="30"/>
      <c r="B689" s="46"/>
      <c r="C689" s="41"/>
      <c r="D689" s="41"/>
      <c r="E689" s="90"/>
      <c r="F689" s="90"/>
      <c r="G689" s="90"/>
      <c r="H689" s="89"/>
      <c r="I689" s="90">
        <f>SUM(H659:H689)</f>
        <v>194.16</v>
      </c>
      <c r="J689" s="90"/>
      <c r="K689" s="157"/>
      <c r="L689" s="157"/>
      <c r="M689" s="158"/>
      <c r="O689" s="82">
        <f t="shared" si="87"/>
        <v>0</v>
      </c>
    </row>
    <row r="690" spans="1:15" ht="15.95" customHeight="1" x14ac:dyDescent="0.2">
      <c r="A690" s="30"/>
      <c r="B690" s="46"/>
      <c r="C690" s="41"/>
      <c r="D690" s="41"/>
      <c r="E690" s="90"/>
      <c r="F690" s="90"/>
      <c r="G690" s="90"/>
      <c r="H690" s="89"/>
      <c r="I690" s="90"/>
      <c r="J690" s="90"/>
      <c r="K690" s="157"/>
      <c r="L690" s="157"/>
      <c r="M690" s="158"/>
      <c r="O690" s="82">
        <f t="shared" si="87"/>
        <v>0</v>
      </c>
    </row>
    <row r="691" spans="1:15" s="5" customFormat="1" ht="16.149999999999999" customHeight="1" x14ac:dyDescent="0.2">
      <c r="A691" s="30"/>
      <c r="B691" s="98" t="s">
        <v>530</v>
      </c>
      <c r="C691" s="32"/>
      <c r="D691" s="32"/>
      <c r="E691" s="89"/>
      <c r="F691" s="89"/>
      <c r="G691" s="89"/>
      <c r="H691" s="89">
        <f t="shared" ref="H691:H727" si="96">PRODUCT(D691:G691)</f>
        <v>0</v>
      </c>
      <c r="I691" s="89"/>
      <c r="J691" s="89"/>
      <c r="K691" s="157"/>
      <c r="L691" s="157"/>
      <c r="M691" s="158"/>
      <c r="O691" s="82">
        <f t="shared" si="87"/>
        <v>0</v>
      </c>
    </row>
    <row r="692" spans="1:15" s="5" customFormat="1" ht="16.149999999999999" customHeight="1" x14ac:dyDescent="0.2">
      <c r="A692" s="30"/>
      <c r="B692" s="44" t="s">
        <v>540</v>
      </c>
      <c r="C692" s="41"/>
      <c r="D692" s="41">
        <v>2</v>
      </c>
      <c r="E692" s="109">
        <v>3.17</v>
      </c>
      <c r="F692" s="109"/>
      <c r="G692" s="109">
        <v>3.1</v>
      </c>
      <c r="H692" s="89">
        <f t="shared" si="96"/>
        <v>19.654</v>
      </c>
      <c r="I692" s="89"/>
      <c r="K692" s="157"/>
      <c r="L692" s="157"/>
      <c r="M692" s="158"/>
      <c r="O692" s="82">
        <f t="shared" si="87"/>
        <v>0</v>
      </c>
    </row>
    <row r="693" spans="1:15" ht="15.95" customHeight="1" x14ac:dyDescent="0.2">
      <c r="A693" s="30"/>
      <c r="B693" s="46"/>
      <c r="C693" s="41"/>
      <c r="D693" s="41">
        <v>2</v>
      </c>
      <c r="E693" s="90">
        <v>3.17</v>
      </c>
      <c r="F693" s="90"/>
      <c r="G693" s="109">
        <v>3.1</v>
      </c>
      <c r="H693" s="89">
        <f t="shared" si="96"/>
        <v>19.654</v>
      </c>
      <c r="I693" s="90"/>
      <c r="J693" s="90"/>
      <c r="K693" s="157"/>
      <c r="L693" s="157"/>
      <c r="M693" s="158"/>
      <c r="O693" s="82">
        <f t="shared" si="87"/>
        <v>0</v>
      </c>
    </row>
    <row r="694" spans="1:15" s="5" customFormat="1" ht="16.149999999999999" customHeight="1" x14ac:dyDescent="0.2">
      <c r="A694" s="30"/>
      <c r="B694" s="110" t="s">
        <v>480</v>
      </c>
      <c r="C694" s="41"/>
      <c r="D694" s="41"/>
      <c r="E694" s="109"/>
      <c r="F694" s="109"/>
      <c r="G694" s="109"/>
      <c r="H694" s="89">
        <f t="shared" si="96"/>
        <v>0</v>
      </c>
      <c r="I694" s="89"/>
      <c r="K694" s="157"/>
      <c r="L694" s="157"/>
      <c r="M694" s="158"/>
      <c r="O694" s="82">
        <f t="shared" si="87"/>
        <v>0</v>
      </c>
    </row>
    <row r="695" spans="1:15" ht="15.95" customHeight="1" x14ac:dyDescent="0.2">
      <c r="A695" s="30"/>
      <c r="B695" s="41" t="s">
        <v>424</v>
      </c>
      <c r="C695" s="41"/>
      <c r="D695" s="41">
        <v>-1</v>
      </c>
      <c r="E695" s="90">
        <v>0.9</v>
      </c>
      <c r="F695" s="90"/>
      <c r="G695" s="90">
        <v>1.2</v>
      </c>
      <c r="H695" s="89">
        <f t="shared" si="96"/>
        <v>-1.08</v>
      </c>
      <c r="I695" s="89"/>
      <c r="J695" s="90"/>
      <c r="K695" s="157"/>
      <c r="L695" s="157"/>
      <c r="M695" s="158"/>
      <c r="O695" s="82">
        <f t="shared" si="87"/>
        <v>0</v>
      </c>
    </row>
    <row r="696" spans="1:15" ht="15.95" customHeight="1" x14ac:dyDescent="0.2">
      <c r="A696" s="30"/>
      <c r="B696" s="41" t="s">
        <v>481</v>
      </c>
      <c r="C696" s="41"/>
      <c r="D696" s="41">
        <v>-1</v>
      </c>
      <c r="E696" s="90">
        <v>0.9</v>
      </c>
      <c r="F696" s="90"/>
      <c r="G696" s="90">
        <v>2.2000000000000002</v>
      </c>
      <c r="H696" s="89">
        <f t="shared" si="96"/>
        <v>-1.9800000000000002</v>
      </c>
      <c r="I696" s="89"/>
      <c r="J696" s="108"/>
      <c r="K696" s="157"/>
      <c r="L696" s="157"/>
      <c r="M696" s="158"/>
      <c r="O696" s="82">
        <f t="shared" si="87"/>
        <v>0</v>
      </c>
    </row>
    <row r="697" spans="1:15" s="5" customFormat="1" ht="16.149999999999999" customHeight="1" x14ac:dyDescent="0.2">
      <c r="A697" s="30"/>
      <c r="B697" s="44" t="s">
        <v>541</v>
      </c>
      <c r="C697" s="41"/>
      <c r="D697" s="41">
        <v>2</v>
      </c>
      <c r="E697" s="109">
        <v>1.9</v>
      </c>
      <c r="F697" s="109"/>
      <c r="G697" s="109">
        <f>3.1-2.3</f>
        <v>0.80000000000000027</v>
      </c>
      <c r="H697" s="89">
        <f t="shared" si="96"/>
        <v>3.0400000000000009</v>
      </c>
      <c r="I697" s="89"/>
      <c r="K697" s="157"/>
      <c r="L697" s="157"/>
      <c r="M697" s="158"/>
      <c r="O697" s="82">
        <f t="shared" si="87"/>
        <v>0</v>
      </c>
    </row>
    <row r="698" spans="1:15" s="5" customFormat="1" ht="16.149999999999999" customHeight="1" x14ac:dyDescent="0.2">
      <c r="A698" s="30"/>
      <c r="B698" s="44"/>
      <c r="C698" s="41"/>
      <c r="D698" s="41">
        <v>2</v>
      </c>
      <c r="E698" s="109">
        <v>1.6</v>
      </c>
      <c r="F698" s="109"/>
      <c r="G698" s="109">
        <f>3.1-2.3</f>
        <v>0.80000000000000027</v>
      </c>
      <c r="H698" s="89">
        <f t="shared" ref="H698" si="97">PRODUCT(D698:G698)</f>
        <v>2.5600000000000009</v>
      </c>
      <c r="I698" s="89"/>
      <c r="K698" s="157"/>
      <c r="L698" s="157"/>
      <c r="M698" s="158"/>
      <c r="O698" s="82">
        <f t="shared" si="87"/>
        <v>0</v>
      </c>
    </row>
    <row r="699" spans="1:15" s="5" customFormat="1" ht="16.149999999999999" customHeight="1" x14ac:dyDescent="0.2">
      <c r="A699" s="30"/>
      <c r="B699" s="44" t="s">
        <v>542</v>
      </c>
      <c r="C699" s="41"/>
      <c r="D699" s="41">
        <v>2</v>
      </c>
      <c r="E699" s="109">
        <v>3.1</v>
      </c>
      <c r="F699" s="109"/>
      <c r="G699" s="109">
        <v>3.1</v>
      </c>
      <c r="H699" s="89">
        <f t="shared" si="96"/>
        <v>19.220000000000002</v>
      </c>
      <c r="I699" s="89"/>
      <c r="K699" s="157"/>
      <c r="L699" s="157"/>
      <c r="M699" s="158"/>
      <c r="O699" s="82">
        <f t="shared" si="87"/>
        <v>0</v>
      </c>
    </row>
    <row r="700" spans="1:15" ht="15.95" customHeight="1" x14ac:dyDescent="0.2">
      <c r="A700" s="30"/>
      <c r="B700" s="46"/>
      <c r="C700" s="41"/>
      <c r="D700" s="41">
        <v>2</v>
      </c>
      <c r="E700" s="90">
        <v>2.9</v>
      </c>
      <c r="F700" s="90"/>
      <c r="G700" s="109">
        <v>3.1</v>
      </c>
      <c r="H700" s="89">
        <f t="shared" si="96"/>
        <v>17.98</v>
      </c>
      <c r="I700" s="90"/>
      <c r="J700" s="90"/>
      <c r="K700" s="157"/>
      <c r="L700" s="157"/>
      <c r="M700" s="158"/>
      <c r="O700" s="82">
        <f t="shared" si="87"/>
        <v>0</v>
      </c>
    </row>
    <row r="701" spans="1:15" s="5" customFormat="1" ht="16.149999999999999" customHeight="1" x14ac:dyDescent="0.2">
      <c r="A701" s="30"/>
      <c r="B701" s="110" t="s">
        <v>480</v>
      </c>
      <c r="C701" s="41"/>
      <c r="D701" s="41"/>
      <c r="E701" s="109"/>
      <c r="F701" s="109"/>
      <c r="G701" s="109"/>
      <c r="H701" s="89">
        <f t="shared" si="96"/>
        <v>0</v>
      </c>
      <c r="I701" s="89"/>
      <c r="K701" s="157"/>
      <c r="L701" s="157"/>
      <c r="M701" s="158"/>
      <c r="O701" s="82">
        <f t="shared" si="87"/>
        <v>0</v>
      </c>
    </row>
    <row r="702" spans="1:15" ht="15.95" customHeight="1" x14ac:dyDescent="0.2">
      <c r="A702" s="30"/>
      <c r="B702" s="41" t="s">
        <v>424</v>
      </c>
      <c r="C702" s="41"/>
      <c r="D702" s="41">
        <v>-1</v>
      </c>
      <c r="E702" s="90">
        <v>0.9</v>
      </c>
      <c r="F702" s="90"/>
      <c r="G702" s="90">
        <v>1.2</v>
      </c>
      <c r="H702" s="89">
        <f t="shared" si="96"/>
        <v>-1.08</v>
      </c>
      <c r="I702" s="89"/>
      <c r="J702" s="90"/>
      <c r="K702" s="157"/>
      <c r="L702" s="157"/>
      <c r="M702" s="158"/>
      <c r="O702" s="82">
        <f t="shared" si="87"/>
        <v>0</v>
      </c>
    </row>
    <row r="703" spans="1:15" ht="15.95" customHeight="1" x14ac:dyDescent="0.2">
      <c r="A703" s="30"/>
      <c r="B703" s="41" t="s">
        <v>481</v>
      </c>
      <c r="C703" s="41"/>
      <c r="D703" s="41">
        <v>-1</v>
      </c>
      <c r="E703" s="90">
        <v>0.9</v>
      </c>
      <c r="F703" s="90"/>
      <c r="G703" s="90">
        <v>2.2000000000000002</v>
      </c>
      <c r="H703" s="89">
        <f t="shared" ref="H703" si="98">PRODUCT(D703:G703)</f>
        <v>-1.9800000000000002</v>
      </c>
      <c r="I703" s="89"/>
      <c r="J703" s="108"/>
      <c r="K703" s="157"/>
      <c r="L703" s="157"/>
      <c r="M703" s="158"/>
      <c r="O703" s="82">
        <f t="shared" si="87"/>
        <v>0</v>
      </c>
    </row>
    <row r="704" spans="1:15" ht="15.95" customHeight="1" x14ac:dyDescent="0.2">
      <c r="A704" s="30"/>
      <c r="B704" s="41"/>
      <c r="C704" s="41"/>
      <c r="D704" s="41"/>
      <c r="E704" s="90"/>
      <c r="F704" s="90"/>
      <c r="G704" s="90"/>
      <c r="H704" s="89"/>
      <c r="I704" s="89"/>
      <c r="J704" s="108"/>
      <c r="K704" s="157"/>
      <c r="L704" s="157"/>
      <c r="M704" s="158"/>
      <c r="O704" s="82">
        <f t="shared" si="87"/>
        <v>0</v>
      </c>
    </row>
    <row r="705" spans="1:15" s="5" customFormat="1" ht="16.149999999999999" customHeight="1" x14ac:dyDescent="0.2">
      <c r="A705" s="30"/>
      <c r="B705" s="44" t="s">
        <v>533</v>
      </c>
      <c r="C705" s="41"/>
      <c r="D705" s="41">
        <v>2</v>
      </c>
      <c r="E705" s="109">
        <v>3.22</v>
      </c>
      <c r="F705" s="109"/>
      <c r="G705" s="109">
        <f t="shared" ref="G705:G706" si="99">3.1-2.3</f>
        <v>0.80000000000000027</v>
      </c>
      <c r="H705" s="89">
        <f t="shared" si="96"/>
        <v>5.1520000000000019</v>
      </c>
      <c r="I705" s="89"/>
      <c r="K705" s="157"/>
      <c r="L705" s="157"/>
      <c r="M705" s="158"/>
      <c r="O705" s="82">
        <f t="shared" si="87"/>
        <v>0</v>
      </c>
    </row>
    <row r="706" spans="1:15" ht="15.95" customHeight="1" x14ac:dyDescent="0.2">
      <c r="A706" s="30"/>
      <c r="B706" s="46"/>
      <c r="C706" s="41"/>
      <c r="D706" s="41">
        <v>2</v>
      </c>
      <c r="E706" s="90">
        <v>2.85</v>
      </c>
      <c r="F706" s="90"/>
      <c r="G706" s="109">
        <f t="shared" si="99"/>
        <v>0.80000000000000027</v>
      </c>
      <c r="H706" s="89">
        <f t="shared" si="96"/>
        <v>4.5600000000000014</v>
      </c>
      <c r="I706" s="90"/>
      <c r="J706" s="90"/>
      <c r="K706" s="157"/>
      <c r="L706" s="157"/>
      <c r="M706" s="158"/>
      <c r="O706" s="82">
        <f t="shared" si="87"/>
        <v>0</v>
      </c>
    </row>
    <row r="707" spans="1:15" s="5" customFormat="1" ht="16.149999999999999" customHeight="1" x14ac:dyDescent="0.2">
      <c r="A707" s="30"/>
      <c r="B707" s="44" t="s">
        <v>548</v>
      </c>
      <c r="C707" s="41"/>
      <c r="D707" s="41">
        <v>2</v>
      </c>
      <c r="E707" s="109">
        <v>1.2</v>
      </c>
      <c r="F707" s="109"/>
      <c r="G707" s="109">
        <v>3.1</v>
      </c>
      <c r="H707" s="89">
        <f t="shared" ref="H707:H708" si="100">PRODUCT(D707:G707)</f>
        <v>7.4399999999999995</v>
      </c>
      <c r="I707" s="89"/>
      <c r="K707" s="157"/>
      <c r="L707" s="157"/>
      <c r="M707" s="158"/>
      <c r="O707" s="82">
        <f t="shared" si="87"/>
        <v>0</v>
      </c>
    </row>
    <row r="708" spans="1:15" ht="15.95" customHeight="1" x14ac:dyDescent="0.2">
      <c r="A708" s="30"/>
      <c r="B708" s="46"/>
      <c r="C708" s="41"/>
      <c r="D708" s="41">
        <v>2</v>
      </c>
      <c r="E708" s="90">
        <v>2.85</v>
      </c>
      <c r="F708" s="90"/>
      <c r="G708" s="109">
        <v>3.1</v>
      </c>
      <c r="H708" s="89">
        <f t="shared" si="100"/>
        <v>17.670000000000002</v>
      </c>
      <c r="I708" s="90"/>
      <c r="J708" s="90"/>
      <c r="K708" s="157"/>
      <c r="L708" s="157"/>
      <c r="M708" s="158"/>
      <c r="O708" s="82">
        <f t="shared" si="87"/>
        <v>0</v>
      </c>
    </row>
    <row r="709" spans="1:15" s="5" customFormat="1" ht="16.149999999999999" customHeight="1" x14ac:dyDescent="0.2">
      <c r="A709" s="30"/>
      <c r="B709" s="110" t="s">
        <v>480</v>
      </c>
      <c r="C709" s="41"/>
      <c r="D709" s="41"/>
      <c r="E709" s="109"/>
      <c r="F709" s="109"/>
      <c r="G709" s="109"/>
      <c r="H709" s="89">
        <f t="shared" si="96"/>
        <v>0</v>
      </c>
      <c r="I709" s="89"/>
      <c r="K709" s="157"/>
      <c r="L709" s="157"/>
      <c r="M709" s="158"/>
      <c r="O709" s="82">
        <f t="shared" si="87"/>
        <v>0</v>
      </c>
    </row>
    <row r="710" spans="1:15" ht="15.95" customHeight="1" x14ac:dyDescent="0.2">
      <c r="A710" s="30"/>
      <c r="B710" s="41" t="s">
        <v>424</v>
      </c>
      <c r="C710" s="41"/>
      <c r="D710" s="41">
        <v>-1</v>
      </c>
      <c r="E710" s="90">
        <v>0.9</v>
      </c>
      <c r="F710" s="90"/>
      <c r="G710" s="90">
        <v>1.2</v>
      </c>
      <c r="H710" s="89">
        <f t="shared" si="96"/>
        <v>-1.08</v>
      </c>
      <c r="I710" s="89"/>
      <c r="J710" s="90"/>
      <c r="K710" s="157"/>
      <c r="L710" s="157"/>
      <c r="M710" s="158"/>
      <c r="O710" s="82">
        <f t="shared" ref="O710:O773" si="101">K710-J710</f>
        <v>0</v>
      </c>
    </row>
    <row r="711" spans="1:15" ht="15.95" customHeight="1" x14ac:dyDescent="0.2">
      <c r="A711" s="30"/>
      <c r="B711" s="41" t="s">
        <v>481</v>
      </c>
      <c r="C711" s="41"/>
      <c r="D711" s="41">
        <v>-1</v>
      </c>
      <c r="E711" s="90">
        <v>0.9</v>
      </c>
      <c r="F711" s="90"/>
      <c r="G711" s="90">
        <v>2.2000000000000002</v>
      </c>
      <c r="H711" s="89">
        <f t="shared" si="96"/>
        <v>-1.9800000000000002</v>
      </c>
      <c r="I711" s="89"/>
      <c r="J711" s="108"/>
      <c r="K711" s="157"/>
      <c r="L711" s="157"/>
      <c r="M711" s="158"/>
      <c r="O711" s="82">
        <f t="shared" si="101"/>
        <v>0</v>
      </c>
    </row>
    <row r="712" spans="1:15" s="5" customFormat="1" ht="16.149999999999999" customHeight="1" x14ac:dyDescent="0.2">
      <c r="A712" s="30"/>
      <c r="B712" s="44" t="s">
        <v>544</v>
      </c>
      <c r="C712" s="41"/>
      <c r="D712" s="41">
        <v>2</v>
      </c>
      <c r="E712" s="109">
        <v>3.92</v>
      </c>
      <c r="F712" s="109"/>
      <c r="G712" s="109">
        <v>3.1</v>
      </c>
      <c r="H712" s="89">
        <f t="shared" si="96"/>
        <v>24.303999999999998</v>
      </c>
      <c r="I712" s="89"/>
      <c r="K712" s="157"/>
      <c r="L712" s="157"/>
      <c r="M712" s="158"/>
      <c r="O712" s="82">
        <f t="shared" si="101"/>
        <v>0</v>
      </c>
    </row>
    <row r="713" spans="1:15" ht="15.95" customHeight="1" x14ac:dyDescent="0.2">
      <c r="A713" s="30"/>
      <c r="B713" s="46"/>
      <c r="C713" s="41"/>
      <c r="D713" s="41">
        <v>2</v>
      </c>
      <c r="E713" s="90">
        <v>3.2</v>
      </c>
      <c r="F713" s="90"/>
      <c r="G713" s="109">
        <v>3.1</v>
      </c>
      <c r="H713" s="89">
        <f t="shared" si="96"/>
        <v>19.840000000000003</v>
      </c>
      <c r="I713" s="90"/>
      <c r="J713" s="90"/>
      <c r="K713" s="157"/>
      <c r="L713" s="157"/>
      <c r="M713" s="158"/>
      <c r="O713" s="82">
        <f t="shared" si="101"/>
        <v>0</v>
      </c>
    </row>
    <row r="714" spans="1:15" ht="15.95" customHeight="1" x14ac:dyDescent="0.2">
      <c r="A714" s="30"/>
      <c r="B714" s="46"/>
      <c r="C714" s="41"/>
      <c r="D714" s="41">
        <v>2</v>
      </c>
      <c r="E714" s="90">
        <v>0.75</v>
      </c>
      <c r="F714" s="90"/>
      <c r="G714" s="109">
        <v>1.25</v>
      </c>
      <c r="H714" s="89">
        <f t="shared" si="96"/>
        <v>1.875</v>
      </c>
      <c r="I714" s="90"/>
      <c r="J714" s="90"/>
      <c r="K714" s="157"/>
      <c r="L714" s="157"/>
      <c r="M714" s="158"/>
      <c r="O714" s="82">
        <f t="shared" si="101"/>
        <v>0</v>
      </c>
    </row>
    <row r="715" spans="1:15" s="5" customFormat="1" ht="16.149999999999999" customHeight="1" x14ac:dyDescent="0.2">
      <c r="A715" s="30"/>
      <c r="B715" s="110" t="s">
        <v>480</v>
      </c>
      <c r="C715" s="41"/>
      <c r="D715" s="41"/>
      <c r="E715" s="109"/>
      <c r="F715" s="109"/>
      <c r="G715" s="109"/>
      <c r="H715" s="89">
        <f t="shared" si="96"/>
        <v>0</v>
      </c>
      <c r="I715" s="89"/>
      <c r="K715" s="157"/>
      <c r="L715" s="157"/>
      <c r="M715" s="158"/>
      <c r="O715" s="82">
        <f t="shared" si="101"/>
        <v>0</v>
      </c>
    </row>
    <row r="716" spans="1:15" ht="15.95" customHeight="1" x14ac:dyDescent="0.2">
      <c r="A716" s="30"/>
      <c r="B716" s="41" t="s">
        <v>424</v>
      </c>
      <c r="C716" s="41"/>
      <c r="D716" s="41">
        <v>-2</v>
      </c>
      <c r="E716" s="90">
        <v>0.9</v>
      </c>
      <c r="F716" s="90"/>
      <c r="G716" s="90">
        <v>1.2</v>
      </c>
      <c r="H716" s="89">
        <f t="shared" si="96"/>
        <v>-2.16</v>
      </c>
      <c r="I716" s="89"/>
      <c r="J716" s="90"/>
      <c r="K716" s="157"/>
      <c r="L716" s="157"/>
      <c r="M716" s="158"/>
      <c r="O716" s="82">
        <f t="shared" si="101"/>
        <v>0</v>
      </c>
    </row>
    <row r="717" spans="1:15" ht="15.95" customHeight="1" x14ac:dyDescent="0.2">
      <c r="A717" s="30"/>
      <c r="B717" s="41" t="s">
        <v>481</v>
      </c>
      <c r="C717" s="41"/>
      <c r="D717" s="41">
        <v>-1</v>
      </c>
      <c r="E717" s="90">
        <v>1.2</v>
      </c>
      <c r="F717" s="90"/>
      <c r="G717" s="90">
        <v>2.2000000000000002</v>
      </c>
      <c r="H717" s="89">
        <f t="shared" si="96"/>
        <v>-2.64</v>
      </c>
      <c r="I717" s="89"/>
      <c r="J717" s="108"/>
      <c r="K717" s="157"/>
      <c r="L717" s="157"/>
      <c r="M717" s="158"/>
      <c r="O717" s="82">
        <f t="shared" si="101"/>
        <v>0</v>
      </c>
    </row>
    <row r="718" spans="1:15" s="5" customFormat="1" ht="16.149999999999999" customHeight="1" x14ac:dyDescent="0.2">
      <c r="A718" s="30"/>
      <c r="B718" s="44" t="s">
        <v>545</v>
      </c>
      <c r="C718" s="41"/>
      <c r="D718" s="41">
        <v>2</v>
      </c>
      <c r="E718" s="109">
        <v>0.9</v>
      </c>
      <c r="F718" s="109"/>
      <c r="G718" s="109">
        <f>3.1-2.3</f>
        <v>0.80000000000000027</v>
      </c>
      <c r="H718" s="89">
        <f t="shared" si="96"/>
        <v>1.4400000000000006</v>
      </c>
      <c r="I718" s="89"/>
      <c r="K718" s="157"/>
      <c r="L718" s="157"/>
      <c r="M718" s="158"/>
      <c r="O718" s="82">
        <f t="shared" si="101"/>
        <v>0</v>
      </c>
    </row>
    <row r="719" spans="1:15" ht="15.95" customHeight="1" x14ac:dyDescent="0.2">
      <c r="A719" s="30"/>
      <c r="B719" s="46"/>
      <c r="C719" s="41"/>
      <c r="D719" s="41">
        <v>2</v>
      </c>
      <c r="E719" s="90">
        <v>1.24</v>
      </c>
      <c r="F719" s="90"/>
      <c r="G719" s="109">
        <f t="shared" ref="G719:G720" si="102">3.1-2.3</f>
        <v>0.80000000000000027</v>
      </c>
      <c r="H719" s="89">
        <f t="shared" si="96"/>
        <v>1.9840000000000007</v>
      </c>
      <c r="I719" s="90"/>
      <c r="J719" s="90"/>
      <c r="K719" s="157"/>
      <c r="L719" s="157"/>
      <c r="M719" s="158"/>
      <c r="O719" s="82">
        <f t="shared" si="101"/>
        <v>0</v>
      </c>
    </row>
    <row r="720" spans="1:15" ht="15.95" customHeight="1" x14ac:dyDescent="0.2">
      <c r="A720" s="30"/>
      <c r="B720" s="46"/>
      <c r="C720" s="41"/>
      <c r="D720" s="41">
        <v>4</v>
      </c>
      <c r="E720" s="90">
        <v>1.85</v>
      </c>
      <c r="F720" s="90"/>
      <c r="G720" s="109">
        <f t="shared" si="102"/>
        <v>0.80000000000000027</v>
      </c>
      <c r="H720" s="89">
        <f t="shared" si="96"/>
        <v>5.9200000000000026</v>
      </c>
      <c r="I720" s="90"/>
      <c r="J720" s="90"/>
      <c r="K720" s="157"/>
      <c r="L720" s="157"/>
      <c r="M720" s="158"/>
      <c r="O720" s="82">
        <f t="shared" si="101"/>
        <v>0</v>
      </c>
    </row>
    <row r="721" spans="1:15" s="5" customFormat="1" ht="16.149999999999999" customHeight="1" x14ac:dyDescent="0.2">
      <c r="A721" s="30"/>
      <c r="B721" s="44" t="s">
        <v>546</v>
      </c>
      <c r="C721" s="41"/>
      <c r="D721" s="41">
        <v>2</v>
      </c>
      <c r="E721" s="109">
        <v>4.0999999999999996</v>
      </c>
      <c r="F721" s="109"/>
      <c r="G721" s="109">
        <v>3.1</v>
      </c>
      <c r="H721" s="89">
        <f t="shared" si="96"/>
        <v>25.419999999999998</v>
      </c>
      <c r="I721" s="89"/>
      <c r="K721" s="157"/>
      <c r="L721" s="157"/>
      <c r="M721" s="158"/>
      <c r="O721" s="82">
        <f t="shared" si="101"/>
        <v>0</v>
      </c>
    </row>
    <row r="722" spans="1:15" ht="15.95" customHeight="1" x14ac:dyDescent="0.2">
      <c r="A722" s="30"/>
      <c r="B722" s="46"/>
      <c r="C722" s="41"/>
      <c r="D722" s="41">
        <v>1</v>
      </c>
      <c r="E722" s="90">
        <v>3.5</v>
      </c>
      <c r="F722" s="90"/>
      <c r="G722" s="109">
        <v>3.1</v>
      </c>
      <c r="H722" s="89">
        <f t="shared" si="96"/>
        <v>10.85</v>
      </c>
      <c r="I722" s="90"/>
      <c r="J722" s="90"/>
      <c r="K722" s="157"/>
      <c r="L722" s="157"/>
      <c r="M722" s="158"/>
      <c r="O722" s="82">
        <f t="shared" si="101"/>
        <v>0</v>
      </c>
    </row>
    <row r="723" spans="1:15" ht="15.95" customHeight="1" x14ac:dyDescent="0.2">
      <c r="A723" s="30"/>
      <c r="B723" s="46"/>
      <c r="C723" s="41"/>
      <c r="D723" s="41">
        <v>4</v>
      </c>
      <c r="E723" s="90">
        <v>1.25</v>
      </c>
      <c r="F723" s="90"/>
      <c r="G723" s="109">
        <v>3.1</v>
      </c>
      <c r="H723" s="89">
        <f t="shared" si="96"/>
        <v>15.5</v>
      </c>
      <c r="I723" s="90"/>
      <c r="J723" s="90"/>
      <c r="K723" s="157"/>
      <c r="L723" s="157"/>
      <c r="M723" s="158"/>
      <c r="O723" s="82">
        <f t="shared" si="101"/>
        <v>0</v>
      </c>
    </row>
    <row r="724" spans="1:15" s="5" customFormat="1" ht="16.149999999999999" customHeight="1" x14ac:dyDescent="0.2">
      <c r="A724" s="30"/>
      <c r="B724" s="110" t="s">
        <v>480</v>
      </c>
      <c r="C724" s="41"/>
      <c r="D724" s="41"/>
      <c r="E724" s="109"/>
      <c r="F724" s="109"/>
      <c r="G724" s="109"/>
      <c r="H724" s="89">
        <f t="shared" si="96"/>
        <v>0</v>
      </c>
      <c r="I724" s="90"/>
      <c r="J724" s="90"/>
      <c r="K724" s="157"/>
      <c r="L724" s="157"/>
      <c r="M724" s="158"/>
      <c r="O724" s="82">
        <f t="shared" si="101"/>
        <v>0</v>
      </c>
    </row>
    <row r="725" spans="1:15" ht="15.95" customHeight="1" x14ac:dyDescent="0.2">
      <c r="A725" s="30"/>
      <c r="B725" s="41" t="s">
        <v>424</v>
      </c>
      <c r="C725" s="41"/>
      <c r="D725" s="41">
        <v>-1</v>
      </c>
      <c r="E725" s="90">
        <v>0.9</v>
      </c>
      <c r="F725" s="90"/>
      <c r="G725" s="90">
        <v>1.2</v>
      </c>
      <c r="H725" s="89">
        <f t="shared" si="96"/>
        <v>-1.08</v>
      </c>
      <c r="I725" s="90"/>
      <c r="J725" s="90"/>
      <c r="K725" s="157"/>
      <c r="L725" s="157"/>
      <c r="M725" s="158"/>
      <c r="O725" s="82">
        <f t="shared" si="101"/>
        <v>0</v>
      </c>
    </row>
    <row r="726" spans="1:15" s="5" customFormat="1" ht="16.149999999999999" customHeight="1" x14ac:dyDescent="0.2">
      <c r="A726" s="30"/>
      <c r="B726" s="44" t="s">
        <v>496</v>
      </c>
      <c r="C726" s="41"/>
      <c r="D726" s="41">
        <v>2</v>
      </c>
      <c r="E726" s="109">
        <v>1.7</v>
      </c>
      <c r="F726" s="109"/>
      <c r="G726" s="109">
        <v>3.1</v>
      </c>
      <c r="H726" s="89">
        <f t="shared" si="96"/>
        <v>10.54</v>
      </c>
      <c r="I726" s="89"/>
      <c r="K726" s="157"/>
      <c r="L726" s="157"/>
      <c r="M726" s="158"/>
      <c r="O726" s="82">
        <f t="shared" si="101"/>
        <v>0</v>
      </c>
    </row>
    <row r="727" spans="1:15" s="5" customFormat="1" ht="16.149999999999999" customHeight="1" x14ac:dyDescent="0.2">
      <c r="A727" s="30"/>
      <c r="B727" s="44"/>
      <c r="C727" s="41"/>
      <c r="D727" s="41">
        <v>2</v>
      </c>
      <c r="E727" s="109">
        <v>6.75</v>
      </c>
      <c r="F727" s="109"/>
      <c r="G727" s="109">
        <v>3.1</v>
      </c>
      <c r="H727" s="89">
        <f t="shared" si="96"/>
        <v>41.85</v>
      </c>
      <c r="I727" s="89"/>
      <c r="K727" s="157"/>
      <c r="L727" s="157"/>
      <c r="M727" s="158"/>
      <c r="O727" s="82">
        <f t="shared" si="101"/>
        <v>0</v>
      </c>
    </row>
    <row r="728" spans="1:15" s="5" customFormat="1" ht="16.149999999999999" customHeight="1" x14ac:dyDescent="0.2">
      <c r="A728" s="30"/>
      <c r="B728" s="110" t="s">
        <v>480</v>
      </c>
      <c r="C728" s="41"/>
      <c r="D728" s="41"/>
      <c r="E728" s="109"/>
      <c r="F728" s="109"/>
      <c r="G728" s="109"/>
      <c r="H728" s="89"/>
      <c r="I728" s="89"/>
      <c r="K728" s="157"/>
      <c r="L728" s="157"/>
      <c r="M728" s="158"/>
      <c r="O728" s="82">
        <f t="shared" si="101"/>
        <v>0</v>
      </c>
    </row>
    <row r="729" spans="1:15" ht="15.95" customHeight="1" x14ac:dyDescent="0.2">
      <c r="A729" s="30"/>
      <c r="B729" s="41" t="s">
        <v>481</v>
      </c>
      <c r="C729" s="41"/>
      <c r="D729" s="41">
        <v>-1</v>
      </c>
      <c r="E729" s="90">
        <v>1.2</v>
      </c>
      <c r="F729" s="90"/>
      <c r="G729" s="90">
        <v>2.2000000000000002</v>
      </c>
      <c r="H729" s="89">
        <f t="shared" ref="H729:H731" si="103">PRODUCT(D729:G729)</f>
        <v>-2.64</v>
      </c>
      <c r="I729" s="89"/>
      <c r="J729" s="108"/>
      <c r="K729" s="157"/>
      <c r="L729" s="157"/>
      <c r="M729" s="158"/>
      <c r="O729" s="82">
        <f t="shared" si="101"/>
        <v>0</v>
      </c>
    </row>
    <row r="730" spans="1:15" ht="15.95" customHeight="1" x14ac:dyDescent="0.2">
      <c r="A730" s="30"/>
      <c r="B730" s="41" t="s">
        <v>481</v>
      </c>
      <c r="C730" s="41"/>
      <c r="D730" s="41">
        <v>-3</v>
      </c>
      <c r="E730" s="90">
        <v>0.9</v>
      </c>
      <c r="F730" s="90"/>
      <c r="G730" s="90">
        <v>2.2000000000000002</v>
      </c>
      <c r="H730" s="89">
        <f t="shared" si="103"/>
        <v>-5.9400000000000013</v>
      </c>
      <c r="I730" s="89"/>
      <c r="J730" s="108"/>
      <c r="K730" s="157"/>
      <c r="L730" s="157"/>
      <c r="M730" s="158"/>
      <c r="O730" s="82">
        <f t="shared" si="101"/>
        <v>0</v>
      </c>
    </row>
    <row r="731" spans="1:15" ht="15.95" customHeight="1" x14ac:dyDescent="0.2">
      <c r="A731" s="30"/>
      <c r="B731" s="41"/>
      <c r="C731" s="41"/>
      <c r="D731" s="41">
        <v>-2</v>
      </c>
      <c r="E731" s="90">
        <v>0.8</v>
      </c>
      <c r="F731" s="90"/>
      <c r="G731" s="90">
        <v>2.2000000000000002</v>
      </c>
      <c r="H731" s="89">
        <f t="shared" si="103"/>
        <v>-3.5200000000000005</v>
      </c>
      <c r="I731" s="89"/>
      <c r="J731" s="108"/>
      <c r="K731" s="157"/>
      <c r="L731" s="157"/>
      <c r="M731" s="158"/>
      <c r="O731" s="82">
        <f t="shared" si="101"/>
        <v>0</v>
      </c>
    </row>
    <row r="732" spans="1:15" ht="15.95" customHeight="1" x14ac:dyDescent="0.2">
      <c r="A732" s="30"/>
      <c r="B732" s="41"/>
      <c r="C732" s="41"/>
      <c r="D732" s="41"/>
      <c r="E732" s="90"/>
      <c r="F732" s="90"/>
      <c r="G732" s="90"/>
      <c r="H732" s="89"/>
      <c r="I732" s="89">
        <f>SUM(H691:H731)</f>
        <v>249.29300000000003</v>
      </c>
      <c r="J732" s="108"/>
      <c r="K732" s="157"/>
      <c r="L732" s="157"/>
      <c r="M732" s="158"/>
      <c r="O732" s="82">
        <f t="shared" si="101"/>
        <v>0</v>
      </c>
    </row>
    <row r="733" spans="1:15" s="5" customFormat="1" ht="16.149999999999999" customHeight="1" x14ac:dyDescent="0.2">
      <c r="A733" s="30"/>
      <c r="B733" s="98" t="s">
        <v>466</v>
      </c>
      <c r="C733" s="32"/>
      <c r="D733" s="32"/>
      <c r="E733" s="89"/>
      <c r="F733" s="89"/>
      <c r="G733" s="89"/>
      <c r="H733" s="89">
        <f t="shared" ref="H733:H735" si="104">PRODUCT(D733:G733)</f>
        <v>0</v>
      </c>
      <c r="I733" s="89"/>
      <c r="J733" s="89"/>
      <c r="K733" s="157"/>
      <c r="L733" s="157"/>
      <c r="M733" s="158"/>
      <c r="O733" s="82">
        <f t="shared" si="101"/>
        <v>0</v>
      </c>
    </row>
    <row r="734" spans="1:15" ht="15.95" customHeight="1" x14ac:dyDescent="0.2">
      <c r="A734" s="30"/>
      <c r="B734" s="46"/>
      <c r="C734" s="41"/>
      <c r="D734" s="41">
        <v>8</v>
      </c>
      <c r="E734" s="90">
        <v>4.5999999999999996</v>
      </c>
      <c r="F734" s="90"/>
      <c r="G734" s="109">
        <f>3.1-2.3</f>
        <v>0.80000000000000027</v>
      </c>
      <c r="H734" s="89">
        <f t="shared" si="104"/>
        <v>29.440000000000008</v>
      </c>
      <c r="I734" s="90"/>
      <c r="J734" s="90"/>
      <c r="K734" s="157"/>
      <c r="L734" s="157"/>
      <c r="M734" s="158"/>
      <c r="O734" s="82">
        <f t="shared" si="101"/>
        <v>0</v>
      </c>
    </row>
    <row r="735" spans="1:15" ht="15.95" customHeight="1" x14ac:dyDescent="0.2">
      <c r="A735" s="30"/>
      <c r="B735" s="46"/>
      <c r="C735" s="41"/>
      <c r="D735" s="41">
        <v>8</v>
      </c>
      <c r="E735" s="90">
        <v>4.0999999999999996</v>
      </c>
      <c r="F735" s="90"/>
      <c r="G735" s="109">
        <f>3.1-2.3</f>
        <v>0.80000000000000027</v>
      </c>
      <c r="H735" s="89">
        <f t="shared" si="104"/>
        <v>26.240000000000006</v>
      </c>
      <c r="I735" s="90"/>
      <c r="J735" s="90"/>
      <c r="K735" s="157"/>
      <c r="L735" s="157"/>
      <c r="M735" s="158"/>
      <c r="O735" s="82">
        <f t="shared" si="101"/>
        <v>0</v>
      </c>
    </row>
    <row r="736" spans="1:15" ht="15.95" customHeight="1" x14ac:dyDescent="0.2">
      <c r="A736" s="30"/>
      <c r="B736" s="46"/>
      <c r="C736" s="41"/>
      <c r="D736" s="41"/>
      <c r="E736" s="90"/>
      <c r="F736" s="90"/>
      <c r="G736" s="90"/>
      <c r="H736" s="89"/>
      <c r="I736" s="90">
        <f>SUM(H734:H736)</f>
        <v>55.680000000000014</v>
      </c>
      <c r="J736" s="90"/>
      <c r="K736" s="157"/>
      <c r="L736" s="157"/>
      <c r="M736" s="158"/>
      <c r="O736" s="82">
        <f t="shared" si="101"/>
        <v>0</v>
      </c>
    </row>
    <row r="737" spans="1:15" s="5" customFormat="1" ht="16.149999999999999" customHeight="1" x14ac:dyDescent="0.2">
      <c r="A737" s="30"/>
      <c r="B737" s="98" t="s">
        <v>467</v>
      </c>
      <c r="C737" s="32"/>
      <c r="D737" s="32"/>
      <c r="E737" s="89"/>
      <c r="F737" s="89"/>
      <c r="G737" s="89"/>
      <c r="H737" s="89">
        <f t="shared" ref="H737:H742" si="105">PRODUCT(D737:G737)</f>
        <v>0</v>
      </c>
      <c r="I737" s="89"/>
      <c r="J737" s="89"/>
      <c r="K737" s="157"/>
      <c r="L737" s="157"/>
      <c r="M737" s="158"/>
      <c r="O737" s="82">
        <f t="shared" si="101"/>
        <v>0</v>
      </c>
    </row>
    <row r="738" spans="1:15" ht="15.95" customHeight="1" x14ac:dyDescent="0.2">
      <c r="A738" s="30"/>
      <c r="B738" s="46"/>
      <c r="C738" s="41"/>
      <c r="D738" s="41">
        <v>2</v>
      </c>
      <c r="E738" s="90">
        <v>2</v>
      </c>
      <c r="F738" s="90"/>
      <c r="G738" s="109">
        <v>3.1</v>
      </c>
      <c r="H738" s="89">
        <f t="shared" si="105"/>
        <v>12.4</v>
      </c>
      <c r="I738" s="90"/>
      <c r="J738" s="90"/>
      <c r="K738" s="157"/>
      <c r="L738" s="157"/>
      <c r="M738" s="158"/>
      <c r="O738" s="82">
        <f t="shared" si="101"/>
        <v>0</v>
      </c>
    </row>
    <row r="739" spans="1:15" ht="15.95" customHeight="1" x14ac:dyDescent="0.2">
      <c r="A739" s="30"/>
      <c r="B739" s="46"/>
      <c r="C739" s="41"/>
      <c r="D739" s="41">
        <v>2</v>
      </c>
      <c r="E739" s="90">
        <v>3</v>
      </c>
      <c r="F739" s="90"/>
      <c r="G739" s="109">
        <v>3.1</v>
      </c>
      <c r="H739" s="89">
        <f t="shared" si="105"/>
        <v>18.600000000000001</v>
      </c>
      <c r="I739" s="90"/>
      <c r="J739" s="108"/>
      <c r="K739" s="157"/>
      <c r="L739" s="157"/>
      <c r="M739" s="158"/>
      <c r="O739" s="82">
        <f t="shared" si="101"/>
        <v>0</v>
      </c>
    </row>
    <row r="740" spans="1:15" s="5" customFormat="1" ht="16.149999999999999" customHeight="1" x14ac:dyDescent="0.2">
      <c r="A740" s="30"/>
      <c r="B740" s="110" t="s">
        <v>480</v>
      </c>
      <c r="C740" s="41"/>
      <c r="D740" s="41"/>
      <c r="E740" s="109"/>
      <c r="F740" s="109"/>
      <c r="G740" s="109"/>
      <c r="H740" s="89">
        <f t="shared" si="105"/>
        <v>0</v>
      </c>
      <c r="I740" s="89"/>
      <c r="K740" s="157"/>
      <c r="L740" s="157"/>
      <c r="M740" s="158"/>
      <c r="O740" s="82">
        <f t="shared" si="101"/>
        <v>0</v>
      </c>
    </row>
    <row r="741" spans="1:15" ht="15.95" customHeight="1" x14ac:dyDescent="0.2">
      <c r="A741" s="30"/>
      <c r="B741" s="41" t="s">
        <v>424</v>
      </c>
      <c r="C741" s="41"/>
      <c r="D741" s="41">
        <v>-2</v>
      </c>
      <c r="E741" s="90">
        <v>0.9</v>
      </c>
      <c r="F741" s="90"/>
      <c r="G741" s="90">
        <v>1.2</v>
      </c>
      <c r="H741" s="89">
        <f t="shared" si="105"/>
        <v>-2.16</v>
      </c>
      <c r="I741" s="89"/>
      <c r="J741" s="90"/>
      <c r="K741" s="157"/>
      <c r="L741" s="157"/>
      <c r="M741" s="158"/>
      <c r="O741" s="82">
        <f t="shared" si="101"/>
        <v>0</v>
      </c>
    </row>
    <row r="742" spans="1:15" ht="15.95" customHeight="1" x14ac:dyDescent="0.2">
      <c r="A742" s="30"/>
      <c r="B742" s="41" t="s">
        <v>481</v>
      </c>
      <c r="C742" s="41"/>
      <c r="D742" s="41">
        <v>-1</v>
      </c>
      <c r="E742" s="90">
        <v>0.9</v>
      </c>
      <c r="F742" s="90"/>
      <c r="G742" s="90">
        <v>2.2000000000000002</v>
      </c>
      <c r="H742" s="89">
        <f t="shared" si="105"/>
        <v>-1.9800000000000002</v>
      </c>
      <c r="I742" s="89"/>
      <c r="J742" s="108"/>
      <c r="K742" s="157"/>
      <c r="L742" s="157"/>
      <c r="M742" s="158"/>
      <c r="O742" s="82">
        <f t="shared" si="101"/>
        <v>0</v>
      </c>
    </row>
    <row r="743" spans="1:15" ht="15.95" customHeight="1" x14ac:dyDescent="0.2">
      <c r="A743" s="40"/>
      <c r="B743" s="46"/>
      <c r="C743" s="41"/>
      <c r="D743" s="41"/>
      <c r="E743" s="90"/>
      <c r="F743" s="90"/>
      <c r="G743" s="90"/>
      <c r="H743" s="90"/>
      <c r="I743" s="90">
        <f>SUM(H738:H742)</f>
        <v>26.86</v>
      </c>
      <c r="J743" s="90"/>
      <c r="K743" s="163"/>
      <c r="L743" s="163"/>
      <c r="M743" s="158"/>
      <c r="O743" s="82">
        <f t="shared" si="101"/>
        <v>0</v>
      </c>
    </row>
    <row r="744" spans="1:15" x14ac:dyDescent="0.2">
      <c r="A744" s="40"/>
      <c r="B744" s="45"/>
      <c r="C744" s="41"/>
      <c r="D744" s="41"/>
      <c r="E744" s="90"/>
      <c r="F744" s="90"/>
      <c r="G744" s="90"/>
      <c r="H744" s="90"/>
      <c r="I744" s="90"/>
      <c r="J744" s="90"/>
      <c r="K744" s="163"/>
      <c r="L744" s="163"/>
      <c r="M744" s="158"/>
      <c r="O744" s="82">
        <f t="shared" si="101"/>
        <v>0</v>
      </c>
    </row>
    <row r="745" spans="1:15" ht="16.5" customHeight="1" x14ac:dyDescent="0.2">
      <c r="A745" s="40" t="s">
        <v>180</v>
      </c>
      <c r="B745" s="45" t="s">
        <v>268</v>
      </c>
      <c r="C745" s="41" t="s">
        <v>4</v>
      </c>
      <c r="D745" s="41"/>
      <c r="E745" s="90"/>
      <c r="F745" s="90"/>
      <c r="G745" s="90"/>
      <c r="H745" s="90"/>
      <c r="I745" s="90"/>
      <c r="J745" s="90">
        <f>SUM(I749:I791)</f>
        <v>1212.5749000000001</v>
      </c>
      <c r="K745" s="163">
        <v>1240</v>
      </c>
      <c r="L745" s="163">
        <v>25</v>
      </c>
      <c r="M745" s="158">
        <f>+L745*K745</f>
        <v>31000</v>
      </c>
      <c r="O745" s="82">
        <f t="shared" si="101"/>
        <v>27.425099999999929</v>
      </c>
    </row>
    <row r="746" spans="1:15" s="5" customFormat="1" ht="16.149999999999999" customHeight="1" x14ac:dyDescent="0.2">
      <c r="A746" s="30"/>
      <c r="B746" s="98" t="s">
        <v>464</v>
      </c>
      <c r="C746" s="32"/>
      <c r="D746" s="32"/>
      <c r="E746" s="89"/>
      <c r="F746" s="89"/>
      <c r="G746" s="89"/>
      <c r="H746" s="89"/>
      <c r="I746" s="89"/>
      <c r="K746" s="157"/>
      <c r="L746" s="157"/>
      <c r="M746" s="158"/>
      <c r="O746" s="82">
        <f t="shared" si="101"/>
        <v>0</v>
      </c>
    </row>
    <row r="747" spans="1:15" s="5" customFormat="1" ht="16.149999999999999" customHeight="1" x14ac:dyDescent="0.2">
      <c r="A747" s="30"/>
      <c r="B747" s="105" t="s">
        <v>474</v>
      </c>
      <c r="C747" s="32"/>
      <c r="D747" s="32"/>
      <c r="E747" s="89"/>
      <c r="F747" s="89"/>
      <c r="G747" s="89"/>
      <c r="I747" s="89"/>
      <c r="K747" s="157"/>
      <c r="L747" s="157"/>
      <c r="M747" s="158"/>
      <c r="O747" s="82">
        <f t="shared" si="101"/>
        <v>0</v>
      </c>
    </row>
    <row r="748" spans="1:15" s="5" customFormat="1" ht="16.149999999999999" customHeight="1" x14ac:dyDescent="0.2">
      <c r="A748" s="30"/>
      <c r="B748" s="44" t="s">
        <v>494</v>
      </c>
      <c r="C748" s="41"/>
      <c r="D748" s="41">
        <v>5</v>
      </c>
      <c r="E748" s="109">
        <v>6.6</v>
      </c>
      <c r="F748" s="109">
        <v>8.6300000000000008</v>
      </c>
      <c r="G748" s="109"/>
      <c r="H748" s="89">
        <f>PRODUCT(D748:G748)</f>
        <v>284.79000000000002</v>
      </c>
      <c r="I748" s="89"/>
      <c r="K748" s="157"/>
      <c r="L748" s="157"/>
      <c r="M748" s="158"/>
      <c r="O748" s="82">
        <f t="shared" si="101"/>
        <v>0</v>
      </c>
    </row>
    <row r="749" spans="1:15" s="5" customFormat="1" ht="16.149999999999999" customHeight="1" x14ac:dyDescent="0.2">
      <c r="A749" s="30"/>
      <c r="B749" s="44"/>
      <c r="C749" s="41"/>
      <c r="D749" s="41">
        <v>4</v>
      </c>
      <c r="E749" s="109">
        <v>1.71</v>
      </c>
      <c r="F749" s="109">
        <v>0.6</v>
      </c>
      <c r="G749" s="109"/>
      <c r="H749" s="89">
        <f t="shared" ref="H749" si="106">PRODUCT(D749:G749)</f>
        <v>4.1040000000000001</v>
      </c>
      <c r="I749" s="89"/>
      <c r="K749" s="157"/>
      <c r="L749" s="157"/>
      <c r="M749" s="158"/>
      <c r="O749" s="82">
        <f t="shared" si="101"/>
        <v>0</v>
      </c>
    </row>
    <row r="750" spans="1:15" s="5" customFormat="1" ht="16.149999999999999" customHeight="1" x14ac:dyDescent="0.2">
      <c r="A750" s="30"/>
      <c r="B750" s="44" t="s">
        <v>495</v>
      </c>
      <c r="C750" s="41"/>
      <c r="D750" s="41">
        <v>4</v>
      </c>
      <c r="E750" s="109">
        <v>4.2</v>
      </c>
      <c r="F750" s="109">
        <v>3.4</v>
      </c>
      <c r="G750" s="109"/>
      <c r="H750" s="89">
        <f>PRODUCT(D750:G750)</f>
        <v>57.12</v>
      </c>
      <c r="I750" s="89"/>
      <c r="K750" s="157"/>
      <c r="L750" s="157"/>
      <c r="M750" s="158"/>
      <c r="O750" s="82">
        <f t="shared" si="101"/>
        <v>0</v>
      </c>
    </row>
    <row r="751" spans="1:15" s="5" customFormat="1" ht="16.149999999999999" customHeight="1" x14ac:dyDescent="0.2">
      <c r="A751" s="30"/>
      <c r="B751" s="44"/>
      <c r="C751" s="41"/>
      <c r="D751" s="41">
        <v>2</v>
      </c>
      <c r="E751" s="109">
        <v>3.4</v>
      </c>
      <c r="F751" s="109">
        <v>3.4</v>
      </c>
      <c r="G751" s="109"/>
      <c r="H751" s="89">
        <f>PRODUCT(D751:G751)</f>
        <v>23.119999999999997</v>
      </c>
      <c r="I751" s="89"/>
      <c r="K751" s="157"/>
      <c r="L751" s="157"/>
      <c r="M751" s="158"/>
      <c r="O751" s="82">
        <f t="shared" si="101"/>
        <v>0</v>
      </c>
    </row>
    <row r="752" spans="1:15" s="5" customFormat="1" ht="16.149999999999999" customHeight="1" x14ac:dyDescent="0.2">
      <c r="A752" s="30"/>
      <c r="B752" s="44" t="s">
        <v>497</v>
      </c>
      <c r="C752" s="41"/>
      <c r="D752" s="41">
        <v>1</v>
      </c>
      <c r="E752" s="109">
        <v>34.200000000000003</v>
      </c>
      <c r="F752" s="109">
        <v>2.2000000000000002</v>
      </c>
      <c r="G752" s="109"/>
      <c r="H752" s="89">
        <f>PRODUCT(D752:G752)</f>
        <v>75.240000000000009</v>
      </c>
      <c r="I752" s="89"/>
      <c r="K752" s="157"/>
      <c r="L752" s="157"/>
      <c r="M752" s="158"/>
      <c r="O752" s="82">
        <f t="shared" si="101"/>
        <v>0</v>
      </c>
    </row>
    <row r="753" spans="1:15" s="5" customFormat="1" ht="16.149999999999999" customHeight="1" x14ac:dyDescent="0.2">
      <c r="A753" s="30"/>
      <c r="B753" s="44"/>
      <c r="C753" s="41"/>
      <c r="D753" s="41">
        <v>6</v>
      </c>
      <c r="E753" s="109">
        <v>2.2000000000000002</v>
      </c>
      <c r="F753" s="109">
        <v>0.4</v>
      </c>
      <c r="G753" s="109"/>
      <c r="H753" s="89">
        <f t="shared" ref="H753:H754" si="107">PRODUCT(D753:G753)</f>
        <v>5.2800000000000011</v>
      </c>
      <c r="I753" s="89"/>
      <c r="K753" s="157"/>
      <c r="L753" s="157"/>
      <c r="M753" s="158"/>
      <c r="O753" s="82">
        <f t="shared" si="101"/>
        <v>0</v>
      </c>
    </row>
    <row r="754" spans="1:15" ht="15.95" customHeight="1" x14ac:dyDescent="0.2">
      <c r="A754" s="30"/>
      <c r="B754" s="46"/>
      <c r="C754" s="41"/>
      <c r="D754" s="41">
        <v>1</v>
      </c>
      <c r="E754" s="90">
        <v>21.4</v>
      </c>
      <c r="F754" s="90">
        <v>0.4</v>
      </c>
      <c r="G754" s="90"/>
      <c r="H754" s="89">
        <f t="shared" si="107"/>
        <v>8.56</v>
      </c>
      <c r="I754" s="89"/>
      <c r="J754" s="108"/>
      <c r="K754" s="157"/>
      <c r="L754" s="157"/>
      <c r="M754" s="158"/>
      <c r="O754" s="82">
        <f t="shared" si="101"/>
        <v>0</v>
      </c>
    </row>
    <row r="755" spans="1:15" s="5" customFormat="1" ht="16.149999999999999" customHeight="1" x14ac:dyDescent="0.2">
      <c r="A755" s="30"/>
      <c r="B755" s="44" t="s">
        <v>549</v>
      </c>
      <c r="C755" s="41"/>
      <c r="D755" s="41">
        <v>1</v>
      </c>
      <c r="E755" s="109">
        <v>11.35</v>
      </c>
      <c r="F755" s="109">
        <v>9.5</v>
      </c>
      <c r="G755" s="109"/>
      <c r="H755" s="89">
        <f>PRODUCT(D755:G755)</f>
        <v>107.825</v>
      </c>
      <c r="I755" s="89"/>
      <c r="K755" s="157"/>
      <c r="L755" s="157"/>
      <c r="M755" s="158"/>
      <c r="O755" s="82">
        <f t="shared" si="101"/>
        <v>0</v>
      </c>
    </row>
    <row r="756" spans="1:15" ht="15.95" customHeight="1" x14ac:dyDescent="0.2">
      <c r="A756" s="30"/>
      <c r="B756" s="46"/>
      <c r="C756" s="41"/>
      <c r="D756" s="41"/>
      <c r="E756" s="90"/>
      <c r="F756" s="90"/>
      <c r="G756" s="90"/>
      <c r="H756" s="89"/>
      <c r="I756" s="89"/>
      <c r="J756" s="108"/>
      <c r="K756" s="157"/>
      <c r="L756" s="157"/>
      <c r="M756" s="158"/>
      <c r="O756" s="82">
        <f t="shared" si="101"/>
        <v>0</v>
      </c>
    </row>
    <row r="757" spans="1:15" ht="15.95" customHeight="1" x14ac:dyDescent="0.2">
      <c r="A757" s="30"/>
      <c r="B757" s="105" t="s">
        <v>475</v>
      </c>
      <c r="C757" s="41"/>
      <c r="D757" s="41"/>
      <c r="E757" s="90"/>
      <c r="F757" s="90"/>
      <c r="G757" s="90"/>
      <c r="H757" s="89">
        <f t="shared" ref="H757:I757" si="108">PRODUCT(D757:G757)</f>
        <v>0</v>
      </c>
      <c r="I757" s="89">
        <f t="shared" si="108"/>
        <v>0</v>
      </c>
      <c r="J757" s="90"/>
      <c r="K757" s="157"/>
      <c r="L757" s="157"/>
      <c r="M757" s="158"/>
      <c r="O757" s="82">
        <f t="shared" si="101"/>
        <v>0</v>
      </c>
    </row>
    <row r="758" spans="1:15" s="5" customFormat="1" ht="16.149999999999999" customHeight="1" x14ac:dyDescent="0.2">
      <c r="A758" s="30"/>
      <c r="B758" s="44" t="s">
        <v>494</v>
      </c>
      <c r="C758" s="41"/>
      <c r="D758" s="41">
        <v>5</v>
      </c>
      <c r="E758" s="109">
        <v>6.6</v>
      </c>
      <c r="F758" s="109">
        <v>8.6300000000000008</v>
      </c>
      <c r="G758" s="109"/>
      <c r="H758" s="89">
        <f>PRODUCT(D758:G758)</f>
        <v>284.79000000000002</v>
      </c>
      <c r="I758" s="89"/>
      <c r="K758" s="157"/>
      <c r="L758" s="157"/>
      <c r="M758" s="158"/>
      <c r="O758" s="82">
        <f t="shared" si="101"/>
        <v>0</v>
      </c>
    </row>
    <row r="759" spans="1:15" s="5" customFormat="1" ht="16.149999999999999" customHeight="1" x14ac:dyDescent="0.2">
      <c r="A759" s="30"/>
      <c r="B759" s="44"/>
      <c r="C759" s="41"/>
      <c r="D759" s="41">
        <v>4</v>
      </c>
      <c r="E759" s="109">
        <v>1.71</v>
      </c>
      <c r="F759" s="109">
        <v>0.6</v>
      </c>
      <c r="G759" s="109"/>
      <c r="H759" s="89">
        <f t="shared" ref="H759" si="109">PRODUCT(D759:G759)</f>
        <v>4.1040000000000001</v>
      </c>
      <c r="I759" s="89"/>
      <c r="K759" s="157"/>
      <c r="L759" s="157"/>
      <c r="M759" s="158"/>
      <c r="O759" s="82">
        <f t="shared" si="101"/>
        <v>0</v>
      </c>
    </row>
    <row r="760" spans="1:15" s="5" customFormat="1" ht="16.149999999999999" customHeight="1" x14ac:dyDescent="0.2">
      <c r="A760" s="30"/>
      <c r="B760" s="44" t="s">
        <v>495</v>
      </c>
      <c r="C760" s="41"/>
      <c r="D760" s="41">
        <v>4</v>
      </c>
      <c r="E760" s="109">
        <v>4.2</v>
      </c>
      <c r="F760" s="109">
        <v>3.4</v>
      </c>
      <c r="G760" s="109"/>
      <c r="H760" s="89">
        <f>PRODUCT(D760:G760)</f>
        <v>57.12</v>
      </c>
      <c r="I760" s="89"/>
      <c r="K760" s="157"/>
      <c r="L760" s="157"/>
      <c r="M760" s="158"/>
      <c r="O760" s="82">
        <f t="shared" si="101"/>
        <v>0</v>
      </c>
    </row>
    <row r="761" spans="1:15" s="5" customFormat="1" ht="16.149999999999999" customHeight="1" x14ac:dyDescent="0.2">
      <c r="A761" s="30"/>
      <c r="B761" s="44"/>
      <c r="C761" s="41"/>
      <c r="D761" s="41">
        <v>2</v>
      </c>
      <c r="E761" s="109">
        <v>3.4</v>
      </c>
      <c r="F761" s="109">
        <v>3.4</v>
      </c>
      <c r="G761" s="109"/>
      <c r="H761" s="89">
        <f>PRODUCT(D761:G761)</f>
        <v>23.119999999999997</v>
      </c>
      <c r="I761" s="89"/>
      <c r="K761" s="157"/>
      <c r="L761" s="157"/>
      <c r="M761" s="158"/>
      <c r="O761" s="82">
        <f t="shared" si="101"/>
        <v>0</v>
      </c>
    </row>
    <row r="762" spans="1:15" s="5" customFormat="1" ht="16.149999999999999" customHeight="1" x14ac:dyDescent="0.2">
      <c r="A762" s="30"/>
      <c r="B762" s="44" t="s">
        <v>497</v>
      </c>
      <c r="C762" s="41"/>
      <c r="D762" s="41">
        <v>1</v>
      </c>
      <c r="E762" s="109">
        <v>34.200000000000003</v>
      </c>
      <c r="F762" s="109">
        <v>2.2000000000000002</v>
      </c>
      <c r="G762" s="109"/>
      <c r="H762" s="89">
        <f>PRODUCT(D762:G762)</f>
        <v>75.240000000000009</v>
      </c>
      <c r="I762" s="89"/>
      <c r="K762" s="157"/>
      <c r="L762" s="157"/>
      <c r="M762" s="158"/>
      <c r="O762" s="82">
        <f t="shared" si="101"/>
        <v>0</v>
      </c>
    </row>
    <row r="763" spans="1:15" ht="15.95" customHeight="1" x14ac:dyDescent="0.2">
      <c r="A763" s="30"/>
      <c r="B763" s="44"/>
      <c r="C763" s="41"/>
      <c r="D763" s="41">
        <v>6</v>
      </c>
      <c r="E763" s="109">
        <v>2.2000000000000002</v>
      </c>
      <c r="F763" s="109">
        <v>0.4</v>
      </c>
      <c r="G763" s="109"/>
      <c r="H763" s="89">
        <f t="shared" ref="H763:H764" si="110">PRODUCT(D763:G763)</f>
        <v>5.2800000000000011</v>
      </c>
      <c r="I763" s="89"/>
      <c r="J763" s="108"/>
      <c r="K763" s="157"/>
      <c r="L763" s="157"/>
      <c r="M763" s="158"/>
      <c r="O763" s="82">
        <f t="shared" si="101"/>
        <v>0</v>
      </c>
    </row>
    <row r="764" spans="1:15" ht="15.95" customHeight="1" x14ac:dyDescent="0.2">
      <c r="A764" s="30"/>
      <c r="B764" s="46"/>
      <c r="C764" s="41"/>
      <c r="D764" s="41">
        <v>1</v>
      </c>
      <c r="E764" s="90">
        <v>21.4</v>
      </c>
      <c r="F764" s="90">
        <v>0.4</v>
      </c>
      <c r="G764" s="90"/>
      <c r="H764" s="89">
        <f t="shared" si="110"/>
        <v>8.56</v>
      </c>
      <c r="I764" s="89">
        <f>SUM(H747:H763)</f>
        <v>1015.693</v>
      </c>
      <c r="J764" s="108"/>
      <c r="K764" s="157"/>
      <c r="L764" s="157"/>
      <c r="M764" s="158"/>
      <c r="O764" s="82">
        <f t="shared" si="101"/>
        <v>0</v>
      </c>
    </row>
    <row r="765" spans="1:15" ht="15.95" customHeight="1" x14ac:dyDescent="0.2">
      <c r="A765" s="30"/>
      <c r="B765" s="46"/>
      <c r="C765" s="41"/>
      <c r="D765" s="41"/>
      <c r="E765" s="90"/>
      <c r="F765" s="90"/>
      <c r="G765" s="90"/>
      <c r="H765" s="89"/>
      <c r="I765" s="89">
        <f t="shared" ref="I765" si="111">PRODUCT(E765:H765)</f>
        <v>0</v>
      </c>
      <c r="J765" s="90"/>
      <c r="K765" s="157"/>
      <c r="L765" s="157"/>
      <c r="M765" s="158"/>
      <c r="O765" s="82">
        <f t="shared" si="101"/>
        <v>0</v>
      </c>
    </row>
    <row r="766" spans="1:15" s="5" customFormat="1" ht="16.149999999999999" customHeight="1" x14ac:dyDescent="0.2">
      <c r="A766" s="30"/>
      <c r="B766" s="98" t="s">
        <v>465</v>
      </c>
      <c r="C766" s="32"/>
      <c r="D766" s="32"/>
      <c r="E766" s="89"/>
      <c r="F766" s="89"/>
      <c r="G766" s="89"/>
      <c r="H766" s="89">
        <f t="shared" ref="H766:H772" si="112">PRODUCT(D766:G766)</f>
        <v>0</v>
      </c>
      <c r="I766" s="89"/>
      <c r="J766" s="89"/>
      <c r="K766" s="157"/>
      <c r="L766" s="157"/>
      <c r="M766" s="158"/>
      <c r="O766" s="82">
        <f t="shared" si="101"/>
        <v>0</v>
      </c>
    </row>
    <row r="767" spans="1:15" s="5" customFormat="1" ht="16.149999999999999" customHeight="1" x14ac:dyDescent="0.2">
      <c r="A767" s="30"/>
      <c r="B767" s="44" t="s">
        <v>485</v>
      </c>
      <c r="C767" s="41"/>
      <c r="D767" s="41">
        <v>0</v>
      </c>
      <c r="E767" s="109">
        <v>5.0999999999999996</v>
      </c>
      <c r="F767" s="109">
        <v>3.1</v>
      </c>
      <c r="G767" s="109"/>
      <c r="H767" s="89">
        <f t="shared" si="112"/>
        <v>0</v>
      </c>
      <c r="I767" s="89"/>
      <c r="K767" s="157"/>
      <c r="L767" s="157"/>
      <c r="M767" s="158"/>
      <c r="O767" s="82">
        <f t="shared" si="101"/>
        <v>0</v>
      </c>
    </row>
    <row r="768" spans="1:15" s="5" customFormat="1" ht="16.149999999999999" customHeight="1" x14ac:dyDescent="0.2">
      <c r="A768" s="30"/>
      <c r="B768" s="44" t="s">
        <v>487</v>
      </c>
      <c r="C768" s="41"/>
      <c r="D768" s="41">
        <v>2</v>
      </c>
      <c r="E768" s="109">
        <v>2.1</v>
      </c>
      <c r="F768" s="109">
        <v>1.9</v>
      </c>
      <c r="G768" s="109"/>
      <c r="H768" s="89">
        <f t="shared" si="112"/>
        <v>7.9799999999999995</v>
      </c>
      <c r="I768" s="89"/>
      <c r="K768" s="157"/>
      <c r="L768" s="157"/>
      <c r="M768" s="158"/>
      <c r="O768" s="82">
        <f t="shared" si="101"/>
        <v>0</v>
      </c>
    </row>
    <row r="769" spans="1:15" s="5" customFormat="1" ht="16.149999999999999" customHeight="1" x14ac:dyDescent="0.2">
      <c r="A769" s="30"/>
      <c r="B769" s="44" t="s">
        <v>488</v>
      </c>
      <c r="C769" s="41"/>
      <c r="D769" s="41">
        <v>1</v>
      </c>
      <c r="E769" s="109">
        <v>4.8</v>
      </c>
      <c r="F769" s="109">
        <v>2.5</v>
      </c>
      <c r="G769" s="109"/>
      <c r="H769" s="89">
        <f t="shared" si="112"/>
        <v>12</v>
      </c>
      <c r="I769" s="89"/>
      <c r="K769" s="157"/>
      <c r="L769" s="157"/>
      <c r="M769" s="158"/>
      <c r="O769" s="82">
        <f t="shared" si="101"/>
        <v>0</v>
      </c>
    </row>
    <row r="770" spans="1:15" s="5" customFormat="1" ht="16.149999999999999" customHeight="1" x14ac:dyDescent="0.2">
      <c r="A770" s="30"/>
      <c r="B770" s="44" t="s">
        <v>479</v>
      </c>
      <c r="C770" s="41"/>
      <c r="D770" s="41">
        <v>0</v>
      </c>
      <c r="E770" s="109">
        <v>4.3</v>
      </c>
      <c r="F770" s="109">
        <v>2.9</v>
      </c>
      <c r="G770" s="109"/>
      <c r="H770" s="89">
        <f t="shared" si="112"/>
        <v>0</v>
      </c>
      <c r="I770" s="89"/>
      <c r="K770" s="157"/>
      <c r="L770" s="157"/>
      <c r="M770" s="158"/>
      <c r="O770" s="82">
        <f t="shared" si="101"/>
        <v>0</v>
      </c>
    </row>
    <row r="771" spans="1:15" s="5" customFormat="1" ht="16.149999999999999" customHeight="1" x14ac:dyDescent="0.2">
      <c r="A771" s="30"/>
      <c r="B771" s="44" t="s">
        <v>496</v>
      </c>
      <c r="C771" s="41"/>
      <c r="D771" s="41">
        <v>0</v>
      </c>
      <c r="E771" s="109">
        <v>2</v>
      </c>
      <c r="F771" s="109">
        <v>3.6</v>
      </c>
      <c r="G771" s="109"/>
      <c r="H771" s="89">
        <f t="shared" si="112"/>
        <v>0</v>
      </c>
      <c r="I771" s="89"/>
      <c r="K771" s="157"/>
      <c r="L771" s="157"/>
      <c r="M771" s="158"/>
      <c r="O771" s="82">
        <f t="shared" si="101"/>
        <v>0</v>
      </c>
    </row>
    <row r="772" spans="1:15" s="5" customFormat="1" ht="16.149999999999999" customHeight="1" x14ac:dyDescent="0.2">
      <c r="A772" s="30"/>
      <c r="B772" s="44"/>
      <c r="C772" s="41"/>
      <c r="D772" s="41">
        <v>0</v>
      </c>
      <c r="E772" s="109">
        <v>4.3</v>
      </c>
      <c r="F772" s="109">
        <v>1.3</v>
      </c>
      <c r="G772" s="109"/>
      <c r="H772" s="89">
        <f t="shared" si="112"/>
        <v>0</v>
      </c>
      <c r="I772" s="89"/>
      <c r="K772" s="157"/>
      <c r="L772" s="157"/>
      <c r="M772" s="158"/>
      <c r="O772" s="82">
        <f t="shared" si="101"/>
        <v>0</v>
      </c>
    </row>
    <row r="773" spans="1:15" ht="15.95" customHeight="1" x14ac:dyDescent="0.2">
      <c r="A773" s="30"/>
      <c r="B773" s="46"/>
      <c r="C773" s="41"/>
      <c r="D773" s="41"/>
      <c r="E773" s="90"/>
      <c r="F773" s="90"/>
      <c r="G773" s="90"/>
      <c r="H773" s="89"/>
      <c r="I773" s="90">
        <f>SUM(H767:H772)</f>
        <v>19.98</v>
      </c>
      <c r="J773" s="90"/>
      <c r="K773" s="157"/>
      <c r="L773" s="157"/>
      <c r="M773" s="158"/>
      <c r="O773" s="82">
        <f t="shared" si="101"/>
        <v>0</v>
      </c>
    </row>
    <row r="774" spans="1:15" s="5" customFormat="1" ht="16.149999999999999" customHeight="1" x14ac:dyDescent="0.2">
      <c r="A774" s="30"/>
      <c r="B774" s="98" t="s">
        <v>530</v>
      </c>
      <c r="C774" s="32"/>
      <c r="D774" s="32"/>
      <c r="E774" s="89"/>
      <c r="F774" s="89"/>
      <c r="G774" s="89"/>
      <c r="H774" s="89">
        <f t="shared" ref="H774:H777" si="113">PRODUCT(D774:G774)</f>
        <v>0</v>
      </c>
      <c r="I774" s="89"/>
      <c r="J774" s="89"/>
      <c r="K774" s="157"/>
      <c r="L774" s="157"/>
      <c r="M774" s="158"/>
      <c r="O774" s="82">
        <f t="shared" ref="O774:O837" si="114">K774-J774</f>
        <v>0</v>
      </c>
    </row>
    <row r="775" spans="1:15" s="5" customFormat="1" ht="16.149999999999999" customHeight="1" x14ac:dyDescent="0.2">
      <c r="A775" s="30"/>
      <c r="B775" s="44" t="s">
        <v>540</v>
      </c>
      <c r="C775" s="41"/>
      <c r="D775" s="41">
        <v>1</v>
      </c>
      <c r="E775" s="109">
        <v>3.17</v>
      </c>
      <c r="F775" s="109">
        <v>3.17</v>
      </c>
      <c r="G775" s="109"/>
      <c r="H775" s="89">
        <f t="shared" si="113"/>
        <v>10.0489</v>
      </c>
      <c r="I775" s="89"/>
      <c r="K775" s="157"/>
      <c r="L775" s="157"/>
      <c r="M775" s="158"/>
      <c r="O775" s="82">
        <f t="shared" si="114"/>
        <v>0</v>
      </c>
    </row>
    <row r="776" spans="1:15" s="5" customFormat="1" ht="16.149999999999999" customHeight="1" x14ac:dyDescent="0.2">
      <c r="A776" s="30"/>
      <c r="B776" s="44" t="s">
        <v>541</v>
      </c>
      <c r="C776" s="41"/>
      <c r="D776" s="41">
        <v>1</v>
      </c>
      <c r="E776" s="109">
        <v>1.6</v>
      </c>
      <c r="F776" s="109">
        <v>1.9</v>
      </c>
      <c r="G776" s="109"/>
      <c r="H776" s="89">
        <f t="shared" si="113"/>
        <v>3.04</v>
      </c>
      <c r="I776" s="89"/>
      <c r="K776" s="157"/>
      <c r="L776" s="157"/>
      <c r="M776" s="158"/>
      <c r="O776" s="82">
        <f t="shared" si="114"/>
        <v>0</v>
      </c>
    </row>
    <row r="777" spans="1:15" s="5" customFormat="1" ht="16.149999999999999" customHeight="1" x14ac:dyDescent="0.2">
      <c r="A777" s="30"/>
      <c r="B777" s="44" t="s">
        <v>542</v>
      </c>
      <c r="C777" s="41"/>
      <c r="D777" s="41">
        <v>1</v>
      </c>
      <c r="E777" s="109">
        <v>3.1</v>
      </c>
      <c r="F777" s="109">
        <v>2.9</v>
      </c>
      <c r="G777" s="109"/>
      <c r="H777" s="89">
        <f t="shared" si="113"/>
        <v>8.99</v>
      </c>
      <c r="I777" s="89"/>
      <c r="K777" s="157"/>
      <c r="L777" s="157"/>
      <c r="M777" s="158"/>
      <c r="O777" s="82">
        <f t="shared" si="114"/>
        <v>0</v>
      </c>
    </row>
    <row r="778" spans="1:15" s="5" customFormat="1" ht="16.149999999999999" customHeight="1" x14ac:dyDescent="0.2">
      <c r="A778" s="30"/>
      <c r="B778" s="44" t="s">
        <v>533</v>
      </c>
      <c r="C778" s="41"/>
      <c r="D778" s="41">
        <v>1</v>
      </c>
      <c r="E778" s="109">
        <v>3.22</v>
      </c>
      <c r="F778" s="109">
        <v>2.85</v>
      </c>
      <c r="G778" s="109"/>
      <c r="H778" s="89">
        <f t="shared" ref="H778:H784" si="115">PRODUCT(D778:G778)</f>
        <v>9.1770000000000014</v>
      </c>
      <c r="I778" s="89"/>
      <c r="K778" s="157"/>
      <c r="L778" s="157"/>
      <c r="M778" s="158"/>
      <c r="O778" s="82">
        <f t="shared" si="114"/>
        <v>0</v>
      </c>
    </row>
    <row r="779" spans="1:15" s="5" customFormat="1" ht="16.149999999999999" customHeight="1" x14ac:dyDescent="0.2">
      <c r="A779" s="30"/>
      <c r="B779" s="44" t="s">
        <v>548</v>
      </c>
      <c r="C779" s="41"/>
      <c r="D779" s="41">
        <v>1</v>
      </c>
      <c r="E779" s="109">
        <v>1.2</v>
      </c>
      <c r="F779" s="109">
        <v>2.85</v>
      </c>
      <c r="G779" s="109"/>
      <c r="H779" s="89">
        <f t="shared" si="115"/>
        <v>3.42</v>
      </c>
      <c r="I779" s="89"/>
      <c r="K779" s="157"/>
      <c r="L779" s="157"/>
      <c r="M779" s="158"/>
      <c r="O779" s="82">
        <f t="shared" si="114"/>
        <v>0</v>
      </c>
    </row>
    <row r="780" spans="1:15" s="5" customFormat="1" ht="16.149999999999999" customHeight="1" x14ac:dyDescent="0.2">
      <c r="A780" s="30"/>
      <c r="B780" s="44" t="s">
        <v>544</v>
      </c>
      <c r="C780" s="41"/>
      <c r="D780" s="41">
        <v>3</v>
      </c>
      <c r="E780" s="109">
        <f>2.92+0.2</f>
        <v>3.12</v>
      </c>
      <c r="F780" s="109">
        <v>3.2</v>
      </c>
      <c r="G780" s="109"/>
      <c r="H780" s="89">
        <f t="shared" si="115"/>
        <v>29.951999999999998</v>
      </c>
      <c r="I780" s="89"/>
      <c r="K780" s="157"/>
      <c r="L780" s="157"/>
      <c r="M780" s="158"/>
      <c r="O780" s="82">
        <f t="shared" si="114"/>
        <v>0</v>
      </c>
    </row>
    <row r="781" spans="1:15" s="5" customFormat="1" ht="16.149999999999999" customHeight="1" x14ac:dyDescent="0.2">
      <c r="A781" s="30"/>
      <c r="B781" s="44" t="s">
        <v>545</v>
      </c>
      <c r="C781" s="41"/>
      <c r="D781" s="41">
        <v>1</v>
      </c>
      <c r="E781" s="109">
        <v>0.9</v>
      </c>
      <c r="F781" s="109">
        <v>1.85</v>
      </c>
      <c r="G781" s="109"/>
      <c r="H781" s="89">
        <f t="shared" si="115"/>
        <v>1.665</v>
      </c>
      <c r="I781" s="89"/>
      <c r="K781" s="157"/>
      <c r="L781" s="157"/>
      <c r="M781" s="158"/>
      <c r="O781" s="82">
        <f t="shared" si="114"/>
        <v>0</v>
      </c>
    </row>
    <row r="782" spans="1:15" ht="15.95" customHeight="1" x14ac:dyDescent="0.2">
      <c r="A782" s="30"/>
      <c r="B782" s="46"/>
      <c r="C782" s="41"/>
      <c r="D782" s="41">
        <v>1</v>
      </c>
      <c r="E782" s="90">
        <v>1.24</v>
      </c>
      <c r="F782" s="90">
        <v>1.85</v>
      </c>
      <c r="G782" s="109"/>
      <c r="H782" s="89">
        <f t="shared" si="115"/>
        <v>2.294</v>
      </c>
      <c r="I782" s="90"/>
      <c r="J782" s="90"/>
      <c r="K782" s="157"/>
      <c r="L782" s="157"/>
      <c r="M782" s="158"/>
      <c r="O782" s="82">
        <f t="shared" si="114"/>
        <v>0</v>
      </c>
    </row>
    <row r="783" spans="1:15" s="5" customFormat="1" ht="16.149999999999999" customHeight="1" x14ac:dyDescent="0.2">
      <c r="A783" s="30"/>
      <c r="B783" s="44" t="s">
        <v>546</v>
      </c>
      <c r="C783" s="41"/>
      <c r="D783" s="41">
        <v>1</v>
      </c>
      <c r="E783" s="109">
        <v>4.4000000000000004</v>
      </c>
      <c r="F783" s="109">
        <v>3.5</v>
      </c>
      <c r="G783" s="109"/>
      <c r="H783" s="89">
        <f t="shared" si="115"/>
        <v>15.400000000000002</v>
      </c>
      <c r="I783" s="89"/>
      <c r="K783" s="157"/>
      <c r="L783" s="157"/>
      <c r="M783" s="158"/>
      <c r="O783" s="82">
        <f t="shared" si="114"/>
        <v>0</v>
      </c>
    </row>
    <row r="784" spans="1:15" s="5" customFormat="1" ht="16.149999999999999" customHeight="1" x14ac:dyDescent="0.2">
      <c r="A784" s="30"/>
      <c r="B784" s="44" t="s">
        <v>496</v>
      </c>
      <c r="C784" s="41"/>
      <c r="D784" s="41">
        <v>1</v>
      </c>
      <c r="E784" s="109">
        <v>1.7</v>
      </c>
      <c r="F784" s="109">
        <v>6.75</v>
      </c>
      <c r="G784" s="109"/>
      <c r="H784" s="89">
        <f t="shared" si="115"/>
        <v>11.475</v>
      </c>
      <c r="I784" s="89"/>
      <c r="K784" s="157"/>
      <c r="L784" s="157"/>
      <c r="M784" s="158"/>
      <c r="O784" s="82">
        <f t="shared" si="114"/>
        <v>0</v>
      </c>
    </row>
    <row r="785" spans="1:15" ht="15.95" customHeight="1" x14ac:dyDescent="0.2">
      <c r="A785" s="30"/>
      <c r="B785" s="41"/>
      <c r="C785" s="41"/>
      <c r="D785" s="41"/>
      <c r="E785" s="90"/>
      <c r="F785" s="90"/>
      <c r="G785" s="90"/>
      <c r="H785" s="89"/>
      <c r="I785" s="89">
        <f>SUM(H775:H784)</f>
        <v>95.4619</v>
      </c>
      <c r="J785" s="108"/>
      <c r="K785" s="157"/>
      <c r="L785" s="157"/>
      <c r="M785" s="158"/>
      <c r="O785" s="82">
        <f t="shared" si="114"/>
        <v>0</v>
      </c>
    </row>
    <row r="786" spans="1:15" s="5" customFormat="1" ht="16.149999999999999" customHeight="1" x14ac:dyDescent="0.2">
      <c r="A786" s="30"/>
      <c r="B786" s="98" t="s">
        <v>466</v>
      </c>
      <c r="C786" s="32"/>
      <c r="D786" s="32"/>
      <c r="E786" s="89"/>
      <c r="F786" s="89"/>
      <c r="G786" s="89"/>
      <c r="H786" s="89">
        <f t="shared" ref="H786:H787" si="116">PRODUCT(D786:G786)</f>
        <v>0</v>
      </c>
      <c r="I786" s="89"/>
      <c r="J786" s="89"/>
      <c r="K786" s="157"/>
      <c r="L786" s="157"/>
      <c r="M786" s="158"/>
      <c r="O786" s="82">
        <f t="shared" si="114"/>
        <v>0</v>
      </c>
    </row>
    <row r="787" spans="1:15" ht="15.95" customHeight="1" x14ac:dyDescent="0.2">
      <c r="A787" s="30"/>
      <c r="B787" s="46"/>
      <c r="C787" s="41"/>
      <c r="D787" s="41">
        <v>4</v>
      </c>
      <c r="E787" s="90">
        <v>4.5999999999999996</v>
      </c>
      <c r="F787" s="90">
        <v>4.0999999999999996</v>
      </c>
      <c r="G787" s="109"/>
      <c r="H787" s="89">
        <f t="shared" si="116"/>
        <v>75.439999999999984</v>
      </c>
      <c r="I787" s="90"/>
      <c r="J787" s="90"/>
      <c r="K787" s="157"/>
      <c r="L787" s="157"/>
      <c r="M787" s="158"/>
      <c r="O787" s="82">
        <f t="shared" si="114"/>
        <v>0</v>
      </c>
    </row>
    <row r="788" spans="1:15" ht="15.95" customHeight="1" x14ac:dyDescent="0.2">
      <c r="A788" s="30"/>
      <c r="B788" s="46"/>
      <c r="C788" s="41"/>
      <c r="D788" s="41"/>
      <c r="E788" s="90"/>
      <c r="F788" s="90"/>
      <c r="G788" s="90"/>
      <c r="H788" s="89"/>
      <c r="I788" s="90">
        <f>SUM(H787:H788)</f>
        <v>75.439999999999984</v>
      </c>
      <c r="J788" s="90"/>
      <c r="K788" s="157"/>
      <c r="L788" s="157"/>
      <c r="M788" s="158"/>
      <c r="O788" s="82">
        <f t="shared" si="114"/>
        <v>0</v>
      </c>
    </row>
    <row r="789" spans="1:15" s="5" customFormat="1" ht="16.149999999999999" customHeight="1" x14ac:dyDescent="0.2">
      <c r="A789" s="30"/>
      <c r="B789" s="98" t="s">
        <v>467</v>
      </c>
      <c r="C789" s="32"/>
      <c r="D789" s="32"/>
      <c r="E789" s="89"/>
      <c r="F789" s="89"/>
      <c r="G789" s="89"/>
      <c r="H789" s="89">
        <f t="shared" ref="H789:H790" si="117">PRODUCT(D789:G789)</f>
        <v>0</v>
      </c>
      <c r="I789" s="89"/>
      <c r="J789" s="89"/>
      <c r="K789" s="157"/>
      <c r="L789" s="157"/>
      <c r="M789" s="158"/>
      <c r="O789" s="82">
        <f t="shared" si="114"/>
        <v>0</v>
      </c>
    </row>
    <row r="790" spans="1:15" ht="15.95" customHeight="1" x14ac:dyDescent="0.2">
      <c r="A790" s="30"/>
      <c r="B790" s="46"/>
      <c r="C790" s="41"/>
      <c r="D790" s="41">
        <v>1</v>
      </c>
      <c r="E790" s="90">
        <v>2</v>
      </c>
      <c r="F790" s="90">
        <v>3</v>
      </c>
      <c r="G790" s="109"/>
      <c r="H790" s="89">
        <f t="shared" si="117"/>
        <v>6</v>
      </c>
      <c r="I790" s="90"/>
      <c r="J790" s="90"/>
      <c r="K790" s="157"/>
      <c r="L790" s="157"/>
      <c r="M790" s="158"/>
      <c r="O790" s="82">
        <f t="shared" si="114"/>
        <v>0</v>
      </c>
    </row>
    <row r="791" spans="1:15" ht="15.95" customHeight="1" x14ac:dyDescent="0.2">
      <c r="A791" s="40"/>
      <c r="B791" s="46"/>
      <c r="C791" s="41"/>
      <c r="D791" s="41"/>
      <c r="E791" s="90"/>
      <c r="F791" s="90"/>
      <c r="G791" s="90"/>
      <c r="H791" s="90"/>
      <c r="I791" s="90">
        <f>SUM(H790:H790)</f>
        <v>6</v>
      </c>
      <c r="J791" s="90"/>
      <c r="K791" s="163"/>
      <c r="L791" s="163"/>
      <c r="M791" s="158"/>
      <c r="O791" s="82">
        <f t="shared" si="114"/>
        <v>0</v>
      </c>
    </row>
    <row r="792" spans="1:15" ht="16.5" customHeight="1" x14ac:dyDescent="0.2">
      <c r="A792" s="40"/>
      <c r="B792" s="45"/>
      <c r="C792" s="41"/>
      <c r="D792" s="41"/>
      <c r="E792" s="90"/>
      <c r="F792" s="90"/>
      <c r="G792" s="90"/>
      <c r="H792" s="90"/>
      <c r="I792" s="90"/>
      <c r="J792" s="90"/>
      <c r="K792" s="163"/>
      <c r="L792" s="163"/>
      <c r="M792" s="158"/>
      <c r="O792" s="82">
        <f t="shared" si="114"/>
        <v>0</v>
      </c>
    </row>
    <row r="793" spans="1:15" ht="17.100000000000001" customHeight="1" x14ac:dyDescent="0.2">
      <c r="A793" s="40" t="s">
        <v>365</v>
      </c>
      <c r="B793" s="46" t="s">
        <v>269</v>
      </c>
      <c r="C793" s="41" t="s">
        <v>1</v>
      </c>
      <c r="D793" s="41"/>
      <c r="E793" s="90"/>
      <c r="F793" s="90"/>
      <c r="G793" s="90"/>
      <c r="H793" s="90"/>
      <c r="I793" s="90"/>
      <c r="J793" s="90">
        <f>SUM(I795:I816)</f>
        <v>275.20000000000005</v>
      </c>
      <c r="K793" s="163">
        <v>280</v>
      </c>
      <c r="L793" s="163">
        <v>25</v>
      </c>
      <c r="M793" s="158">
        <f>+L793*K793</f>
        <v>7000</v>
      </c>
      <c r="N793" s="43"/>
      <c r="O793" s="82">
        <f t="shared" si="114"/>
        <v>4.7999999999999545</v>
      </c>
    </row>
    <row r="794" spans="1:15" s="5" customFormat="1" ht="16.149999999999999" customHeight="1" x14ac:dyDescent="0.2">
      <c r="A794" s="30"/>
      <c r="B794" s="98" t="s">
        <v>464</v>
      </c>
      <c r="C794" s="32"/>
      <c r="D794" s="32"/>
      <c r="E794" s="89"/>
      <c r="F794" s="89"/>
      <c r="G794" s="89"/>
      <c r="H794" s="89"/>
      <c r="I794" s="89"/>
      <c r="K794" s="157"/>
      <c r="L794" s="157"/>
      <c r="M794" s="158"/>
      <c r="O794" s="82">
        <f t="shared" si="114"/>
        <v>0</v>
      </c>
    </row>
    <row r="795" spans="1:15" ht="16.5" customHeight="1" x14ac:dyDescent="0.2">
      <c r="A795" s="40"/>
      <c r="B795" s="143">
        <v>1</v>
      </c>
      <c r="C795" s="41"/>
      <c r="D795" s="41">
        <v>4</v>
      </c>
      <c r="E795" s="90">
        <v>15.2</v>
      </c>
      <c r="F795" s="90"/>
      <c r="G795" s="90"/>
      <c r="H795" s="89">
        <f t="shared" ref="H795:H816" si="118">PRODUCT(D795:G795)</f>
        <v>60.8</v>
      </c>
      <c r="I795" s="90"/>
      <c r="J795" s="90"/>
      <c r="K795" s="163"/>
      <c r="L795" s="163"/>
      <c r="M795" s="158"/>
      <c r="O795" s="82">
        <f t="shared" si="114"/>
        <v>0</v>
      </c>
    </row>
    <row r="796" spans="1:15" ht="16.5" customHeight="1" x14ac:dyDescent="0.2">
      <c r="A796" s="40"/>
      <c r="B796" s="45"/>
      <c r="C796" s="41"/>
      <c r="D796" s="41">
        <v>2</v>
      </c>
      <c r="E796" s="90">
        <f>34.2-0.2*4</f>
        <v>33.400000000000006</v>
      </c>
      <c r="F796" s="90"/>
      <c r="G796" s="90"/>
      <c r="H796" s="89">
        <f t="shared" si="118"/>
        <v>66.800000000000011</v>
      </c>
      <c r="I796" s="90"/>
      <c r="J796" s="90"/>
      <c r="K796" s="163"/>
      <c r="L796" s="163"/>
      <c r="M796" s="158"/>
      <c r="O796" s="82">
        <f t="shared" si="114"/>
        <v>0</v>
      </c>
    </row>
    <row r="797" spans="1:15" ht="16.5" customHeight="1" x14ac:dyDescent="0.2">
      <c r="A797" s="40"/>
      <c r="B797" s="143">
        <v>2</v>
      </c>
      <c r="C797" s="41"/>
      <c r="D797" s="41">
        <v>2</v>
      </c>
      <c r="E797" s="90">
        <v>9.5</v>
      </c>
      <c r="F797" s="90"/>
      <c r="G797" s="90"/>
      <c r="H797" s="89">
        <f t="shared" si="118"/>
        <v>19</v>
      </c>
      <c r="I797" s="80"/>
      <c r="J797" s="90"/>
      <c r="K797" s="163"/>
      <c r="L797" s="163"/>
      <c r="M797" s="158"/>
      <c r="O797" s="82">
        <f t="shared" si="114"/>
        <v>0</v>
      </c>
    </row>
    <row r="798" spans="1:15" ht="16.5" customHeight="1" x14ac:dyDescent="0.2">
      <c r="A798" s="40"/>
      <c r="B798" s="45"/>
      <c r="C798" s="41"/>
      <c r="D798" s="41">
        <v>2</v>
      </c>
      <c r="E798" s="90">
        <f>11.25-0.2*2</f>
        <v>10.85</v>
      </c>
      <c r="F798" s="90"/>
      <c r="G798" s="90"/>
      <c r="H798" s="89">
        <f t="shared" si="118"/>
        <v>21.7</v>
      </c>
      <c r="I798" s="90"/>
      <c r="J798" s="90"/>
      <c r="K798" s="163"/>
      <c r="L798" s="163"/>
      <c r="M798" s="158"/>
      <c r="O798" s="82">
        <f t="shared" si="114"/>
        <v>0</v>
      </c>
    </row>
    <row r="799" spans="1:15" ht="16.5" customHeight="1" x14ac:dyDescent="0.2">
      <c r="A799" s="40"/>
      <c r="B799" s="45"/>
      <c r="C799" s="41"/>
      <c r="D799" s="41"/>
      <c r="E799" s="90"/>
      <c r="F799" s="90"/>
      <c r="G799" s="90"/>
      <c r="H799" s="89"/>
      <c r="I799" s="90">
        <f>SUM(H795:H797)</f>
        <v>146.60000000000002</v>
      </c>
      <c r="J799" s="90"/>
      <c r="K799" s="163"/>
      <c r="L799" s="163"/>
      <c r="M799" s="158"/>
      <c r="O799" s="82">
        <f t="shared" si="114"/>
        <v>0</v>
      </c>
    </row>
    <row r="800" spans="1:15" s="5" customFormat="1" ht="16.149999999999999" customHeight="1" x14ac:dyDescent="0.2">
      <c r="A800" s="30"/>
      <c r="B800" s="98" t="s">
        <v>465</v>
      </c>
      <c r="C800" s="32"/>
      <c r="D800" s="32"/>
      <c r="E800" s="89"/>
      <c r="F800" s="89"/>
      <c r="G800" s="89"/>
      <c r="H800" s="89">
        <f t="shared" si="118"/>
        <v>0</v>
      </c>
      <c r="I800" s="89"/>
      <c r="J800" s="89"/>
      <c r="K800" s="157"/>
      <c r="L800" s="157"/>
      <c r="M800" s="158"/>
      <c r="O800" s="82">
        <f t="shared" si="114"/>
        <v>0</v>
      </c>
    </row>
    <row r="801" spans="1:15" ht="16.5" customHeight="1" x14ac:dyDescent="0.2">
      <c r="A801" s="40"/>
      <c r="B801" s="45"/>
      <c r="C801" s="41"/>
      <c r="D801" s="41">
        <v>2</v>
      </c>
      <c r="E801" s="90">
        <v>10.7</v>
      </c>
      <c r="F801" s="90"/>
      <c r="G801" s="90"/>
      <c r="H801" s="89">
        <f t="shared" si="118"/>
        <v>21.4</v>
      </c>
      <c r="I801" s="90"/>
      <c r="J801" s="90"/>
      <c r="K801" s="163"/>
      <c r="L801" s="163"/>
      <c r="M801" s="158"/>
      <c r="O801" s="82">
        <f t="shared" si="114"/>
        <v>0</v>
      </c>
    </row>
    <row r="802" spans="1:15" ht="16.5" customHeight="1" x14ac:dyDescent="0.2">
      <c r="A802" s="40"/>
      <c r="B802" s="45"/>
      <c r="C802" s="41"/>
      <c r="D802" s="41">
        <v>2</v>
      </c>
      <c r="E802" s="90">
        <v>9.1999999999999993</v>
      </c>
      <c r="F802" s="90"/>
      <c r="G802" s="90"/>
      <c r="H802" s="89">
        <f t="shared" si="118"/>
        <v>18.399999999999999</v>
      </c>
      <c r="I802" s="90"/>
      <c r="J802" s="90"/>
      <c r="K802" s="163"/>
      <c r="L802" s="163"/>
      <c r="M802" s="158"/>
      <c r="O802" s="82">
        <f t="shared" si="114"/>
        <v>0</v>
      </c>
    </row>
    <row r="803" spans="1:15" ht="16.5" customHeight="1" x14ac:dyDescent="0.2">
      <c r="A803" s="40"/>
      <c r="B803" s="45"/>
      <c r="C803" s="41"/>
      <c r="D803" s="41"/>
      <c r="E803" s="90"/>
      <c r="F803" s="90"/>
      <c r="G803" s="90"/>
      <c r="H803" s="89">
        <f t="shared" si="118"/>
        <v>0</v>
      </c>
      <c r="I803" s="90">
        <f>SUM(H801:H803)</f>
        <v>39.799999999999997</v>
      </c>
      <c r="J803" s="90"/>
      <c r="K803" s="163"/>
      <c r="L803" s="163"/>
      <c r="M803" s="158"/>
      <c r="O803" s="82">
        <f t="shared" si="114"/>
        <v>0</v>
      </c>
    </row>
    <row r="804" spans="1:15" s="5" customFormat="1" ht="16.149999999999999" customHeight="1" x14ac:dyDescent="0.2">
      <c r="A804" s="30"/>
      <c r="B804" s="98" t="s">
        <v>530</v>
      </c>
      <c r="C804" s="32"/>
      <c r="D804" s="32"/>
      <c r="E804" s="89"/>
      <c r="F804" s="89"/>
      <c r="G804" s="89"/>
      <c r="H804" s="89">
        <f t="shared" si="118"/>
        <v>0</v>
      </c>
      <c r="I804" s="89"/>
      <c r="J804" s="89"/>
      <c r="K804" s="157"/>
      <c r="L804" s="157"/>
      <c r="M804" s="158"/>
      <c r="O804" s="82">
        <f t="shared" si="114"/>
        <v>0</v>
      </c>
    </row>
    <row r="805" spans="1:15" ht="16.5" customHeight="1" x14ac:dyDescent="0.2">
      <c r="A805" s="40"/>
      <c r="B805" s="45"/>
      <c r="C805" s="41"/>
      <c r="D805" s="41">
        <v>2</v>
      </c>
      <c r="E805" s="90">
        <v>11.1</v>
      </c>
      <c r="F805" s="90"/>
      <c r="G805" s="90"/>
      <c r="H805" s="89">
        <f t="shared" ref="H805:H808" si="119">PRODUCT(D805:G805)</f>
        <v>22.2</v>
      </c>
      <c r="I805" s="90"/>
      <c r="J805" s="90"/>
      <c r="K805" s="163"/>
      <c r="L805" s="163"/>
      <c r="M805" s="158"/>
      <c r="O805" s="82">
        <f t="shared" si="114"/>
        <v>0</v>
      </c>
    </row>
    <row r="806" spans="1:15" ht="16.5" customHeight="1" x14ac:dyDescent="0.2">
      <c r="A806" s="40"/>
      <c r="B806" s="45"/>
      <c r="C806" s="41"/>
      <c r="D806" s="41">
        <v>2</v>
      </c>
      <c r="E806" s="90">
        <f>9.75-0.2*2</f>
        <v>9.35</v>
      </c>
      <c r="F806" s="90"/>
      <c r="G806" s="90"/>
      <c r="H806" s="89">
        <f t="shared" si="119"/>
        <v>18.7</v>
      </c>
      <c r="I806" s="90"/>
      <c r="J806" s="90"/>
      <c r="K806" s="163"/>
      <c r="L806" s="163"/>
      <c r="M806" s="158"/>
      <c r="O806" s="82">
        <f t="shared" si="114"/>
        <v>0</v>
      </c>
    </row>
    <row r="807" spans="1:15" ht="16.5" customHeight="1" x14ac:dyDescent="0.2">
      <c r="A807" s="40"/>
      <c r="B807" s="45"/>
      <c r="C807" s="41"/>
      <c r="D807" s="41">
        <v>2</v>
      </c>
      <c r="E807" s="90">
        <v>0.35</v>
      </c>
      <c r="F807" s="90"/>
      <c r="G807" s="90"/>
      <c r="H807" s="89">
        <f t="shared" si="119"/>
        <v>0.7</v>
      </c>
      <c r="I807" s="90"/>
      <c r="J807" s="90"/>
      <c r="K807" s="163"/>
      <c r="L807" s="163"/>
      <c r="M807" s="158"/>
      <c r="O807" s="82">
        <f t="shared" si="114"/>
        <v>0</v>
      </c>
    </row>
    <row r="808" spans="1:15" ht="16.5" customHeight="1" x14ac:dyDescent="0.2">
      <c r="A808" s="40"/>
      <c r="B808" s="45"/>
      <c r="C808" s="41"/>
      <c r="D808" s="41"/>
      <c r="E808" s="90"/>
      <c r="F808" s="90"/>
      <c r="G808" s="90"/>
      <c r="H808" s="89">
        <f t="shared" si="119"/>
        <v>0</v>
      </c>
      <c r="I808" s="90">
        <f>SUM(H805:H807)</f>
        <v>41.6</v>
      </c>
      <c r="J808" s="90"/>
      <c r="K808" s="163"/>
      <c r="L808" s="163"/>
      <c r="M808" s="158"/>
      <c r="O808" s="82">
        <f t="shared" si="114"/>
        <v>0</v>
      </c>
    </row>
    <row r="809" spans="1:15" s="5" customFormat="1" ht="16.149999999999999" customHeight="1" x14ac:dyDescent="0.2">
      <c r="A809" s="30"/>
      <c r="B809" s="98" t="s">
        <v>466</v>
      </c>
      <c r="C809" s="32"/>
      <c r="D809" s="32"/>
      <c r="E809" s="89"/>
      <c r="F809" s="89"/>
      <c r="G809" s="89"/>
      <c r="H809" s="89">
        <f t="shared" si="118"/>
        <v>0</v>
      </c>
      <c r="I809" s="89"/>
      <c r="J809" s="89"/>
      <c r="K809" s="157"/>
      <c r="L809" s="157"/>
      <c r="M809" s="158"/>
      <c r="O809" s="82">
        <f t="shared" si="114"/>
        <v>0</v>
      </c>
    </row>
    <row r="810" spans="1:15" ht="16.5" customHeight="1" x14ac:dyDescent="0.2">
      <c r="A810" s="40"/>
      <c r="B810" s="45"/>
      <c r="C810" s="41"/>
      <c r="D810" s="41">
        <v>2</v>
      </c>
      <c r="E810" s="90">
        <v>8.8000000000000007</v>
      </c>
      <c r="F810" s="90"/>
      <c r="G810" s="90"/>
      <c r="H810" s="89">
        <f t="shared" si="118"/>
        <v>17.600000000000001</v>
      </c>
      <c r="I810" s="90"/>
      <c r="J810" s="90"/>
      <c r="K810" s="163"/>
      <c r="L810" s="163"/>
      <c r="M810" s="158"/>
      <c r="O810" s="82">
        <f t="shared" si="114"/>
        <v>0</v>
      </c>
    </row>
    <row r="811" spans="1:15" ht="16.5" customHeight="1" x14ac:dyDescent="0.2">
      <c r="A811" s="40"/>
      <c r="B811" s="45"/>
      <c r="C811" s="41"/>
      <c r="D811" s="41">
        <v>2</v>
      </c>
      <c r="E811" s="90">
        <v>9.4</v>
      </c>
      <c r="F811" s="90"/>
      <c r="G811" s="90"/>
      <c r="H811" s="89">
        <f t="shared" si="118"/>
        <v>18.8</v>
      </c>
      <c r="I811" s="90"/>
      <c r="J811" s="90"/>
      <c r="K811" s="163"/>
      <c r="L811" s="163"/>
      <c r="M811" s="158"/>
      <c r="O811" s="82">
        <f t="shared" si="114"/>
        <v>0</v>
      </c>
    </row>
    <row r="812" spans="1:15" ht="16.5" customHeight="1" x14ac:dyDescent="0.2">
      <c r="A812" s="40"/>
      <c r="B812" s="45"/>
      <c r="C812" s="41"/>
      <c r="D812" s="41"/>
      <c r="E812" s="90"/>
      <c r="F812" s="90"/>
      <c r="G812" s="90"/>
      <c r="H812" s="89">
        <f t="shared" si="118"/>
        <v>0</v>
      </c>
      <c r="I812" s="90">
        <f>SUM(H810:H811)</f>
        <v>36.400000000000006</v>
      </c>
      <c r="J812" s="90"/>
      <c r="K812" s="163"/>
      <c r="L812" s="163"/>
      <c r="M812" s="158"/>
      <c r="O812" s="82">
        <f t="shared" si="114"/>
        <v>0</v>
      </c>
    </row>
    <row r="813" spans="1:15" s="5" customFormat="1" ht="16.149999999999999" customHeight="1" x14ac:dyDescent="0.2">
      <c r="A813" s="30"/>
      <c r="B813" s="98" t="s">
        <v>467</v>
      </c>
      <c r="C813" s="32"/>
      <c r="D813" s="32"/>
      <c r="E813" s="89"/>
      <c r="F813" s="89"/>
      <c r="G813" s="89"/>
      <c r="H813" s="89"/>
      <c r="I813" s="89"/>
      <c r="J813" s="89"/>
      <c r="K813" s="157"/>
      <c r="L813" s="157"/>
      <c r="M813" s="158"/>
      <c r="O813" s="82">
        <f t="shared" si="114"/>
        <v>0</v>
      </c>
    </row>
    <row r="814" spans="1:15" ht="16.5" customHeight="1" x14ac:dyDescent="0.2">
      <c r="A814" s="40"/>
      <c r="B814" s="45"/>
      <c r="C814" s="41"/>
      <c r="D814" s="32">
        <v>2</v>
      </c>
      <c r="E814" s="89">
        <v>2.4</v>
      </c>
      <c r="F814" s="89"/>
      <c r="G814" s="89"/>
      <c r="H814" s="89">
        <f t="shared" ref="H814:H815" si="120">PRODUCT(D814:G814)</f>
        <v>4.8</v>
      </c>
      <c r="I814" s="90"/>
      <c r="J814" s="90"/>
      <c r="K814" s="163"/>
      <c r="L814" s="163"/>
      <c r="M814" s="158"/>
      <c r="O814" s="82">
        <f t="shared" si="114"/>
        <v>0</v>
      </c>
    </row>
    <row r="815" spans="1:15" ht="16.5" customHeight="1" x14ac:dyDescent="0.2">
      <c r="A815" s="40"/>
      <c r="B815" s="45"/>
      <c r="C815" s="41"/>
      <c r="D815" s="32">
        <v>2</v>
      </c>
      <c r="E815" s="89">
        <v>3</v>
      </c>
      <c r="F815" s="89"/>
      <c r="G815" s="89"/>
      <c r="H815" s="89">
        <f t="shared" si="120"/>
        <v>6</v>
      </c>
      <c r="I815" s="90"/>
      <c r="J815" s="90"/>
      <c r="K815" s="163"/>
      <c r="L815" s="163"/>
      <c r="M815" s="158"/>
      <c r="O815" s="82">
        <f t="shared" si="114"/>
        <v>0</v>
      </c>
    </row>
    <row r="816" spans="1:15" ht="16.5" customHeight="1" x14ac:dyDescent="0.2">
      <c r="A816" s="40"/>
      <c r="B816" s="45"/>
      <c r="C816" s="41"/>
      <c r="D816" s="41"/>
      <c r="E816" s="90"/>
      <c r="F816" s="90"/>
      <c r="G816" s="90"/>
      <c r="H816" s="89">
        <f t="shared" si="118"/>
        <v>0</v>
      </c>
      <c r="I816" s="90">
        <f>SUM(H813:H815)</f>
        <v>10.8</v>
      </c>
      <c r="J816" s="90"/>
      <c r="K816" s="163"/>
      <c r="L816" s="163"/>
      <c r="M816" s="158"/>
      <c r="O816" s="82">
        <f t="shared" si="114"/>
        <v>0</v>
      </c>
    </row>
    <row r="817" spans="1:15" ht="18" customHeight="1" x14ac:dyDescent="0.2">
      <c r="A817" s="250" t="s">
        <v>103</v>
      </c>
      <c r="B817" s="251"/>
      <c r="C817" s="251"/>
      <c r="D817" s="251"/>
      <c r="E817" s="251"/>
      <c r="F817" s="251"/>
      <c r="G817" s="251"/>
      <c r="H817" s="251"/>
      <c r="I817" s="251"/>
      <c r="J817" s="251"/>
      <c r="K817" s="251"/>
      <c r="L817" s="252"/>
      <c r="M817" s="159">
        <f>SUM(M586:M816)</f>
        <v>149050</v>
      </c>
      <c r="O817" s="82">
        <f t="shared" si="114"/>
        <v>0</v>
      </c>
    </row>
    <row r="818" spans="1:15" ht="18" customHeight="1" x14ac:dyDescent="0.2">
      <c r="A818" s="24"/>
      <c r="B818" s="25" t="s">
        <v>181</v>
      </c>
      <c r="C818" s="26"/>
      <c r="D818" s="26"/>
      <c r="E818" s="88"/>
      <c r="F818" s="88"/>
      <c r="G818" s="88"/>
      <c r="H818" s="88"/>
      <c r="I818" s="88"/>
      <c r="J818" s="88"/>
      <c r="K818" s="155"/>
      <c r="L818" s="155"/>
      <c r="M818" s="158"/>
      <c r="O818" s="82">
        <f t="shared" si="114"/>
        <v>0</v>
      </c>
    </row>
    <row r="819" spans="1:15" ht="15.95" customHeight="1" x14ac:dyDescent="0.2">
      <c r="A819" s="40" t="s">
        <v>403</v>
      </c>
      <c r="B819" s="45" t="s">
        <v>313</v>
      </c>
      <c r="C819" s="41" t="s">
        <v>76</v>
      </c>
      <c r="D819" s="41"/>
      <c r="E819" s="90"/>
      <c r="F819" s="90"/>
      <c r="G819" s="90"/>
      <c r="H819" s="90"/>
      <c r="I819" s="90"/>
      <c r="J819" s="90">
        <f>SUM(I821:I831)</f>
        <v>7</v>
      </c>
      <c r="K819" s="163">
        <v>7</v>
      </c>
      <c r="L819" s="163">
        <v>400</v>
      </c>
      <c r="M819" s="158">
        <f t="shared" ref="M819:M844" si="121">+L819*K819</f>
        <v>2800</v>
      </c>
      <c r="N819" s="43"/>
      <c r="O819" s="82">
        <f t="shared" si="114"/>
        <v>0</v>
      </c>
    </row>
    <row r="820" spans="1:15" s="5" customFormat="1" ht="16.149999999999999" customHeight="1" x14ac:dyDescent="0.2">
      <c r="A820" s="30"/>
      <c r="B820" s="98" t="s">
        <v>464</v>
      </c>
      <c r="C820" s="32"/>
      <c r="D820" s="32"/>
      <c r="E820" s="89"/>
      <c r="F820" s="89"/>
      <c r="G820" s="89"/>
      <c r="H820" s="89"/>
      <c r="I820" s="89"/>
      <c r="K820" s="157"/>
      <c r="L820" s="157"/>
      <c r="M820" s="158"/>
      <c r="O820" s="82">
        <f t="shared" si="114"/>
        <v>0</v>
      </c>
    </row>
    <row r="821" spans="1:15" ht="16.5" customHeight="1" x14ac:dyDescent="0.2">
      <c r="A821" s="40"/>
      <c r="B821" s="45"/>
      <c r="C821" s="41"/>
      <c r="D821" s="41"/>
      <c r="E821" s="90"/>
      <c r="F821" s="90"/>
      <c r="G821" s="90"/>
      <c r="H821" s="89">
        <f t="shared" ref="H821:H830" si="122">PRODUCT(D821:G821)</f>
        <v>0</v>
      </c>
      <c r="I821" s="90">
        <f>SUM(H821:H821)</f>
        <v>0</v>
      </c>
      <c r="J821" s="90"/>
      <c r="K821" s="163"/>
      <c r="L821" s="163"/>
      <c r="M821" s="158"/>
      <c r="O821" s="82">
        <f t="shared" si="114"/>
        <v>0</v>
      </c>
    </row>
    <row r="822" spans="1:15" s="5" customFormat="1" ht="16.149999999999999" customHeight="1" x14ac:dyDescent="0.2">
      <c r="A822" s="30"/>
      <c r="B822" s="98" t="s">
        <v>465</v>
      </c>
      <c r="C822" s="32"/>
      <c r="D822" s="32"/>
      <c r="E822" s="89"/>
      <c r="F822" s="89"/>
      <c r="G822" s="89"/>
      <c r="H822" s="89">
        <f t="shared" si="122"/>
        <v>0</v>
      </c>
      <c r="I822" s="89"/>
      <c r="J822" s="89"/>
      <c r="K822" s="157"/>
      <c r="L822" s="157"/>
      <c r="M822" s="158"/>
      <c r="O822" s="82">
        <f t="shared" si="114"/>
        <v>0</v>
      </c>
    </row>
    <row r="823" spans="1:15" ht="16.5" customHeight="1" x14ac:dyDescent="0.2">
      <c r="A823" s="40"/>
      <c r="B823" s="45"/>
      <c r="C823" s="41"/>
      <c r="D823" s="41">
        <v>1</v>
      </c>
      <c r="E823" s="90"/>
      <c r="F823" s="90"/>
      <c r="G823" s="90"/>
      <c r="H823" s="89">
        <f t="shared" si="122"/>
        <v>1</v>
      </c>
      <c r="I823" s="90"/>
      <c r="J823" s="90"/>
      <c r="K823" s="163"/>
      <c r="L823" s="163"/>
      <c r="M823" s="158"/>
      <c r="O823" s="82">
        <f t="shared" si="114"/>
        <v>0</v>
      </c>
    </row>
    <row r="824" spans="1:15" ht="16.5" customHeight="1" x14ac:dyDescent="0.2">
      <c r="A824" s="40"/>
      <c r="B824" s="45"/>
      <c r="C824" s="41"/>
      <c r="D824" s="41"/>
      <c r="E824" s="90"/>
      <c r="F824" s="90"/>
      <c r="G824" s="90"/>
      <c r="H824" s="89">
        <f t="shared" si="122"/>
        <v>0</v>
      </c>
      <c r="I824" s="90">
        <f>SUM(H823:H824)</f>
        <v>1</v>
      </c>
      <c r="J824" s="90"/>
      <c r="K824" s="163"/>
      <c r="L824" s="163"/>
      <c r="M824" s="158"/>
      <c r="O824" s="82">
        <f t="shared" si="114"/>
        <v>0</v>
      </c>
    </row>
    <row r="825" spans="1:15" s="5" customFormat="1" ht="16.149999999999999" customHeight="1" x14ac:dyDescent="0.2">
      <c r="A825" s="30"/>
      <c r="B825" s="98" t="s">
        <v>530</v>
      </c>
      <c r="C825" s="32"/>
      <c r="D825" s="32"/>
      <c r="E825" s="89"/>
      <c r="F825" s="89"/>
      <c r="G825" s="89"/>
      <c r="H825" s="89">
        <f t="shared" si="122"/>
        <v>0</v>
      </c>
      <c r="I825" s="89"/>
      <c r="J825" s="89"/>
      <c r="K825" s="157"/>
      <c r="L825" s="157"/>
      <c r="M825" s="158"/>
      <c r="O825" s="82">
        <f t="shared" si="114"/>
        <v>0</v>
      </c>
    </row>
    <row r="826" spans="1:15" ht="16.5" customHeight="1" x14ac:dyDescent="0.2">
      <c r="A826" s="40"/>
      <c r="B826" s="45"/>
      <c r="C826" s="41"/>
      <c r="D826" s="41">
        <v>2</v>
      </c>
      <c r="E826" s="90"/>
      <c r="F826" s="90"/>
      <c r="G826" s="90"/>
      <c r="H826" s="89">
        <f t="shared" ref="H826:H827" si="123">PRODUCT(D826:G826)</f>
        <v>2</v>
      </c>
      <c r="I826" s="90"/>
      <c r="J826" s="90"/>
      <c r="K826" s="163"/>
      <c r="L826" s="163"/>
      <c r="M826" s="158"/>
      <c r="O826" s="82">
        <f t="shared" si="114"/>
        <v>0</v>
      </c>
    </row>
    <row r="827" spans="1:15" ht="16.5" customHeight="1" x14ac:dyDescent="0.2">
      <c r="A827" s="40"/>
      <c r="B827" s="45"/>
      <c r="C827" s="41"/>
      <c r="D827" s="41"/>
      <c r="E827" s="90"/>
      <c r="F827" s="90"/>
      <c r="G827" s="90"/>
      <c r="H827" s="89">
        <f t="shared" si="123"/>
        <v>0</v>
      </c>
      <c r="I827" s="90">
        <f>SUM(H826:H827)</f>
        <v>2</v>
      </c>
      <c r="J827" s="90"/>
      <c r="K827" s="163"/>
      <c r="L827" s="163"/>
      <c r="M827" s="158"/>
      <c r="O827" s="82">
        <f t="shared" si="114"/>
        <v>0</v>
      </c>
    </row>
    <row r="828" spans="1:15" s="5" customFormat="1" ht="16.149999999999999" customHeight="1" x14ac:dyDescent="0.2">
      <c r="A828" s="30"/>
      <c r="B828" s="98" t="s">
        <v>466</v>
      </c>
      <c r="C828" s="32"/>
      <c r="D828" s="32"/>
      <c r="E828" s="89"/>
      <c r="F828" s="89"/>
      <c r="G828" s="89"/>
      <c r="H828" s="89">
        <f t="shared" si="122"/>
        <v>0</v>
      </c>
      <c r="I828" s="89"/>
      <c r="J828" s="89"/>
      <c r="K828" s="157"/>
      <c r="L828" s="157"/>
      <c r="M828" s="158"/>
      <c r="O828" s="82">
        <f t="shared" si="114"/>
        <v>0</v>
      </c>
    </row>
    <row r="829" spans="1:15" ht="16.5" customHeight="1" x14ac:dyDescent="0.2">
      <c r="A829" s="40"/>
      <c r="B829" s="45"/>
      <c r="C829" s="41"/>
      <c r="D829" s="41">
        <v>4</v>
      </c>
      <c r="E829" s="90"/>
      <c r="F829" s="90"/>
      <c r="G829" s="90"/>
      <c r="H829" s="89">
        <f t="shared" si="122"/>
        <v>4</v>
      </c>
      <c r="I829" s="90"/>
      <c r="J829" s="90"/>
      <c r="K829" s="163"/>
      <c r="L829" s="163"/>
      <c r="M829" s="158"/>
      <c r="O829" s="82">
        <f t="shared" si="114"/>
        <v>0</v>
      </c>
    </row>
    <row r="830" spans="1:15" ht="16.5" customHeight="1" x14ac:dyDescent="0.2">
      <c r="A830" s="40"/>
      <c r="B830" s="45"/>
      <c r="C830" s="41"/>
      <c r="D830" s="41"/>
      <c r="E830" s="90"/>
      <c r="F830" s="90"/>
      <c r="G830" s="90"/>
      <c r="H830" s="89">
        <f t="shared" si="122"/>
        <v>0</v>
      </c>
      <c r="I830" s="90">
        <f>SUM(H829:H829)</f>
        <v>4</v>
      </c>
      <c r="J830" s="90"/>
      <c r="K830" s="163"/>
      <c r="L830" s="163"/>
      <c r="M830" s="158"/>
      <c r="O830" s="82">
        <f t="shared" si="114"/>
        <v>0</v>
      </c>
    </row>
    <row r="831" spans="1:15" s="5" customFormat="1" ht="16.149999999999999" customHeight="1" x14ac:dyDescent="0.2">
      <c r="A831" s="30"/>
      <c r="B831" s="98" t="s">
        <v>467</v>
      </c>
      <c r="C831" s="32"/>
      <c r="D831" s="32"/>
      <c r="E831" s="89"/>
      <c r="F831" s="89"/>
      <c r="G831" s="89"/>
      <c r="H831" s="89"/>
      <c r="I831" s="89"/>
      <c r="J831" s="89"/>
      <c r="K831" s="157"/>
      <c r="L831" s="157"/>
      <c r="M831" s="158"/>
      <c r="O831" s="82">
        <f t="shared" si="114"/>
        <v>0</v>
      </c>
    </row>
    <row r="832" spans="1:15" ht="15.95" customHeight="1" x14ac:dyDescent="0.2">
      <c r="A832" s="40"/>
      <c r="B832" s="45"/>
      <c r="C832" s="41"/>
      <c r="D832" s="41"/>
      <c r="E832" s="90"/>
      <c r="F832" s="90"/>
      <c r="G832" s="90"/>
      <c r="H832" s="90"/>
      <c r="I832" s="90"/>
      <c r="J832" s="90"/>
      <c r="K832" s="163"/>
      <c r="L832" s="163"/>
      <c r="M832" s="158"/>
      <c r="N832" s="43"/>
      <c r="O832" s="82">
        <f t="shared" si="114"/>
        <v>0</v>
      </c>
    </row>
    <row r="833" spans="1:263" ht="15.95" customHeight="1" x14ac:dyDescent="0.2">
      <c r="A833" s="40" t="s">
        <v>182</v>
      </c>
      <c r="B833" s="39" t="s">
        <v>305</v>
      </c>
      <c r="C833" s="32" t="s">
        <v>76</v>
      </c>
      <c r="D833" s="32">
        <v>1</v>
      </c>
      <c r="E833" s="89"/>
      <c r="F833" s="89"/>
      <c r="G833" s="89"/>
      <c r="H833" s="89">
        <f t="shared" ref="H833" si="124">PRODUCT(D833:G833)</f>
        <v>1</v>
      </c>
      <c r="I833" s="89">
        <f>H833</f>
        <v>1</v>
      </c>
      <c r="J833" s="89">
        <v>1</v>
      </c>
      <c r="K833" s="157">
        <v>2</v>
      </c>
      <c r="L833" s="157">
        <v>300</v>
      </c>
      <c r="M833" s="158">
        <f t="shared" si="121"/>
        <v>600</v>
      </c>
      <c r="N833" s="34"/>
      <c r="O833" s="82">
        <f t="shared" si="114"/>
        <v>1</v>
      </c>
    </row>
    <row r="834" spans="1:263" ht="15.95" customHeight="1" x14ac:dyDescent="0.2">
      <c r="A834" s="40" t="s">
        <v>337</v>
      </c>
      <c r="B834" s="49" t="s">
        <v>366</v>
      </c>
      <c r="C834" s="32" t="s">
        <v>4</v>
      </c>
      <c r="D834" s="32"/>
      <c r="E834" s="89"/>
      <c r="F834" s="89"/>
      <c r="G834" s="89"/>
      <c r="H834" s="89"/>
      <c r="I834" s="89"/>
      <c r="J834" s="89"/>
      <c r="K834" s="157"/>
      <c r="L834" s="157">
        <v>700</v>
      </c>
      <c r="M834" s="158">
        <f t="shared" si="121"/>
        <v>0</v>
      </c>
      <c r="N834" s="34"/>
      <c r="O834" s="82">
        <f t="shared" si="114"/>
        <v>0</v>
      </c>
    </row>
    <row r="835" spans="1:263" ht="15.95" customHeight="1" x14ac:dyDescent="0.2">
      <c r="A835" s="40" t="s">
        <v>183</v>
      </c>
      <c r="B835" s="47" t="s">
        <v>126</v>
      </c>
      <c r="C835" s="32" t="s">
        <v>1</v>
      </c>
      <c r="D835" s="32"/>
      <c r="E835" s="89"/>
      <c r="F835" s="89"/>
      <c r="G835" s="89"/>
      <c r="H835" s="89"/>
      <c r="I835" s="89"/>
      <c r="J835" s="89"/>
      <c r="K835" s="157"/>
      <c r="L835" s="157">
        <v>1500</v>
      </c>
      <c r="M835" s="158">
        <f t="shared" si="121"/>
        <v>0</v>
      </c>
      <c r="N835" s="34"/>
      <c r="O835" s="82">
        <f t="shared" si="114"/>
        <v>0</v>
      </c>
    </row>
    <row r="836" spans="1:263" ht="15.95" customHeight="1" x14ac:dyDescent="0.2">
      <c r="A836" s="40" t="s">
        <v>184</v>
      </c>
      <c r="B836" s="39" t="s">
        <v>37</v>
      </c>
      <c r="C836" s="32" t="s">
        <v>4</v>
      </c>
      <c r="D836" s="32"/>
      <c r="E836" s="89"/>
      <c r="F836" s="89"/>
      <c r="G836" s="89"/>
      <c r="H836" s="89"/>
      <c r="I836" s="89"/>
      <c r="J836" s="89">
        <f>SUM(I837:I839)</f>
        <v>7.6849999999999996</v>
      </c>
      <c r="K836" s="157">
        <v>8</v>
      </c>
      <c r="L836" s="157">
        <v>150</v>
      </c>
      <c r="M836" s="158">
        <f t="shared" si="121"/>
        <v>1200</v>
      </c>
      <c r="N836" s="34"/>
      <c r="O836" s="82">
        <f t="shared" si="114"/>
        <v>0.31500000000000039</v>
      </c>
    </row>
    <row r="837" spans="1:263" s="5" customFormat="1" ht="16.149999999999999" customHeight="1" x14ac:dyDescent="0.2">
      <c r="A837" s="30"/>
      <c r="B837" s="98" t="s">
        <v>530</v>
      </c>
      <c r="C837" s="32"/>
      <c r="D837" s="32"/>
      <c r="E837" s="89"/>
      <c r="F837" s="89"/>
      <c r="G837" s="89"/>
      <c r="H837" s="89">
        <f t="shared" ref="H837:H839" si="125">PRODUCT(D837:G837)</f>
        <v>0</v>
      </c>
      <c r="I837" s="89"/>
      <c r="J837" s="89"/>
      <c r="K837" s="157"/>
      <c r="L837" s="157"/>
      <c r="M837" s="158"/>
      <c r="O837" s="82">
        <f t="shared" si="114"/>
        <v>0</v>
      </c>
    </row>
    <row r="838" spans="1:263" ht="16.5" customHeight="1" x14ac:dyDescent="0.2">
      <c r="A838" s="40"/>
      <c r="B838" s="45"/>
      <c r="C838" s="41"/>
      <c r="D838" s="41">
        <v>1</v>
      </c>
      <c r="E838" s="90">
        <v>2.65</v>
      </c>
      <c r="F838" s="90"/>
      <c r="G838" s="90">
        <v>2.9</v>
      </c>
      <c r="H838" s="89">
        <f t="shared" si="125"/>
        <v>7.6849999999999996</v>
      </c>
      <c r="I838" s="90"/>
      <c r="J838" s="90"/>
      <c r="K838" s="163"/>
      <c r="L838" s="163"/>
      <c r="M838" s="158"/>
      <c r="O838" s="82">
        <f t="shared" ref="O838:O901" si="126">K838-J838</f>
        <v>0</v>
      </c>
    </row>
    <row r="839" spans="1:263" ht="16.5" customHeight="1" x14ac:dyDescent="0.2">
      <c r="A839" s="40"/>
      <c r="B839" s="45"/>
      <c r="C839" s="41"/>
      <c r="D839" s="41"/>
      <c r="E839" s="90"/>
      <c r="F839" s="90"/>
      <c r="G839" s="90"/>
      <c r="H839" s="89">
        <f t="shared" si="125"/>
        <v>0</v>
      </c>
      <c r="I839" s="90">
        <f>SUM(H838:H839)</f>
        <v>7.6849999999999996</v>
      </c>
      <c r="J839" s="90"/>
      <c r="K839" s="163"/>
      <c r="L839" s="163"/>
      <c r="M839" s="158"/>
      <c r="O839" s="82">
        <f t="shared" si="126"/>
        <v>0</v>
      </c>
    </row>
    <row r="840" spans="1:263" ht="15.95" customHeight="1" x14ac:dyDescent="0.2">
      <c r="A840" s="40" t="s">
        <v>185</v>
      </c>
      <c r="B840" s="46" t="s">
        <v>133</v>
      </c>
      <c r="C840" s="41" t="s">
        <v>76</v>
      </c>
      <c r="D840" s="41"/>
      <c r="E840" s="90"/>
      <c r="F840" s="90"/>
      <c r="G840" s="90"/>
      <c r="H840" s="90"/>
      <c r="I840" s="90"/>
      <c r="J840" s="90"/>
      <c r="K840" s="163"/>
      <c r="L840" s="163">
        <v>200</v>
      </c>
      <c r="M840" s="158">
        <f t="shared" si="121"/>
        <v>0</v>
      </c>
      <c r="N840" s="43"/>
      <c r="O840" s="82">
        <f t="shared" si="126"/>
        <v>0</v>
      </c>
    </row>
    <row r="841" spans="1:263" ht="15.95" customHeight="1" x14ac:dyDescent="0.2">
      <c r="A841" s="40" t="s">
        <v>186</v>
      </c>
      <c r="B841" s="39" t="s">
        <v>270</v>
      </c>
      <c r="C841" s="32" t="s">
        <v>1</v>
      </c>
      <c r="D841" s="32"/>
      <c r="E841" s="89"/>
      <c r="F841" s="89"/>
      <c r="G841" s="89"/>
      <c r="H841" s="89"/>
      <c r="I841" s="89"/>
      <c r="J841" s="89"/>
      <c r="K841" s="157"/>
      <c r="L841" s="157">
        <v>400</v>
      </c>
      <c r="M841" s="158">
        <f t="shared" si="121"/>
        <v>0</v>
      </c>
      <c r="N841" s="34"/>
      <c r="O841" s="82">
        <f t="shared" si="126"/>
        <v>0</v>
      </c>
    </row>
    <row r="842" spans="1:263" s="114" customFormat="1" ht="18" customHeight="1" x14ac:dyDescent="0.2">
      <c r="A842" s="111" t="s">
        <v>187</v>
      </c>
      <c r="B842" s="112" t="s">
        <v>91</v>
      </c>
      <c r="C842" s="101" t="s">
        <v>76</v>
      </c>
      <c r="D842" s="101"/>
      <c r="E842" s="102"/>
      <c r="F842" s="102"/>
      <c r="G842" s="102"/>
      <c r="H842" s="102"/>
      <c r="I842" s="102"/>
      <c r="J842" s="102"/>
      <c r="K842" s="157">
        <v>8</v>
      </c>
      <c r="L842" s="157">
        <v>600</v>
      </c>
      <c r="M842" s="158">
        <f t="shared" si="121"/>
        <v>4800</v>
      </c>
      <c r="N842" s="113"/>
      <c r="O842" s="82">
        <f t="shared" si="126"/>
        <v>8</v>
      </c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  <c r="AA842" s="104"/>
      <c r="AB842" s="104"/>
      <c r="AC842" s="104"/>
      <c r="AD842" s="104"/>
      <c r="AE842" s="104"/>
      <c r="AF842" s="104"/>
      <c r="AG842" s="104"/>
      <c r="AH842" s="104"/>
      <c r="AI842" s="104"/>
      <c r="AJ842" s="104"/>
      <c r="AK842" s="104"/>
      <c r="AL842" s="104"/>
      <c r="AM842" s="104"/>
      <c r="AN842" s="104"/>
      <c r="AO842" s="104"/>
      <c r="AP842" s="104"/>
      <c r="AQ842" s="104"/>
      <c r="AR842" s="104"/>
      <c r="AS842" s="104"/>
      <c r="AT842" s="104"/>
      <c r="AU842" s="104"/>
      <c r="AV842" s="104"/>
      <c r="AW842" s="104"/>
      <c r="AX842" s="104"/>
      <c r="AY842" s="104"/>
      <c r="AZ842" s="104"/>
      <c r="BA842" s="104"/>
      <c r="BB842" s="104"/>
      <c r="BC842" s="104"/>
      <c r="BD842" s="104"/>
      <c r="BE842" s="104"/>
      <c r="BF842" s="104"/>
      <c r="BG842" s="104"/>
      <c r="BH842" s="104"/>
      <c r="BI842" s="104"/>
      <c r="BJ842" s="104"/>
      <c r="BK842" s="104"/>
      <c r="BL842" s="104"/>
      <c r="BM842" s="104"/>
      <c r="BN842" s="104"/>
      <c r="BO842" s="104"/>
      <c r="BP842" s="104"/>
      <c r="BQ842" s="104"/>
      <c r="BR842" s="104"/>
      <c r="BS842" s="104"/>
      <c r="BT842" s="104"/>
      <c r="BU842" s="104"/>
      <c r="BV842" s="104"/>
      <c r="BW842" s="104"/>
      <c r="BX842" s="104"/>
      <c r="BY842" s="104"/>
      <c r="BZ842" s="104"/>
      <c r="CA842" s="104"/>
      <c r="CB842" s="104"/>
      <c r="CC842" s="104"/>
      <c r="CD842" s="104"/>
      <c r="CE842" s="104"/>
      <c r="CF842" s="104"/>
      <c r="CG842" s="104"/>
      <c r="CH842" s="104"/>
      <c r="CI842" s="104"/>
      <c r="CJ842" s="104"/>
      <c r="CK842" s="104"/>
      <c r="CL842" s="104"/>
      <c r="CM842" s="104"/>
      <c r="CN842" s="104"/>
      <c r="CO842" s="104"/>
      <c r="CP842" s="104"/>
      <c r="CQ842" s="104"/>
      <c r="CR842" s="104"/>
      <c r="CS842" s="104"/>
      <c r="CT842" s="104"/>
      <c r="CU842" s="104"/>
      <c r="CV842" s="104"/>
      <c r="CW842" s="104"/>
      <c r="CX842" s="104"/>
      <c r="CY842" s="104"/>
      <c r="CZ842" s="104"/>
      <c r="DA842" s="104"/>
      <c r="DB842" s="104"/>
      <c r="DC842" s="104"/>
      <c r="DD842" s="104"/>
      <c r="DE842" s="104"/>
      <c r="DF842" s="104"/>
      <c r="DG842" s="104"/>
      <c r="DH842" s="104"/>
      <c r="DI842" s="104"/>
      <c r="DJ842" s="104"/>
      <c r="DK842" s="104"/>
      <c r="DL842" s="104"/>
      <c r="DM842" s="104"/>
      <c r="DN842" s="104"/>
      <c r="DO842" s="104"/>
      <c r="DP842" s="104"/>
      <c r="DQ842" s="104"/>
      <c r="DR842" s="104"/>
      <c r="DS842" s="104"/>
      <c r="DT842" s="104"/>
      <c r="DU842" s="104"/>
      <c r="DV842" s="104"/>
      <c r="DW842" s="104"/>
      <c r="DX842" s="104"/>
      <c r="DY842" s="104"/>
      <c r="DZ842" s="104"/>
      <c r="EA842" s="104"/>
      <c r="EB842" s="104"/>
      <c r="EC842" s="104"/>
      <c r="ED842" s="104"/>
      <c r="EE842" s="104"/>
      <c r="EF842" s="104"/>
      <c r="EG842" s="104"/>
      <c r="EH842" s="104"/>
      <c r="EI842" s="104"/>
      <c r="EJ842" s="104"/>
      <c r="EK842" s="104"/>
      <c r="EL842" s="104"/>
      <c r="EM842" s="104"/>
      <c r="EN842" s="104"/>
      <c r="EO842" s="104"/>
      <c r="EP842" s="104"/>
      <c r="EQ842" s="104"/>
      <c r="ER842" s="104"/>
      <c r="ES842" s="104"/>
      <c r="ET842" s="104"/>
      <c r="EU842" s="104"/>
      <c r="EV842" s="104"/>
      <c r="EW842" s="104"/>
      <c r="EX842" s="104"/>
      <c r="EY842" s="104"/>
      <c r="EZ842" s="104"/>
      <c r="FA842" s="104"/>
      <c r="FB842" s="104"/>
      <c r="FC842" s="104"/>
      <c r="FD842" s="104"/>
      <c r="FE842" s="104"/>
      <c r="FF842" s="104"/>
      <c r="FG842" s="104"/>
      <c r="FH842" s="104"/>
      <c r="FI842" s="104"/>
      <c r="FJ842" s="104"/>
      <c r="FK842" s="104"/>
      <c r="FL842" s="104"/>
      <c r="FM842" s="104"/>
      <c r="FN842" s="104"/>
      <c r="FO842" s="104"/>
      <c r="FP842" s="104"/>
      <c r="FQ842" s="104"/>
      <c r="FR842" s="104"/>
      <c r="FS842" s="104"/>
      <c r="FT842" s="104"/>
      <c r="FU842" s="104"/>
      <c r="FV842" s="104"/>
      <c r="FW842" s="104"/>
      <c r="FX842" s="104"/>
      <c r="FY842" s="104"/>
      <c r="FZ842" s="104"/>
      <c r="GA842" s="104"/>
      <c r="GB842" s="104"/>
      <c r="GC842" s="104"/>
      <c r="GD842" s="104"/>
      <c r="GE842" s="104"/>
      <c r="GF842" s="104"/>
      <c r="GG842" s="104"/>
      <c r="GH842" s="104"/>
      <c r="GI842" s="104"/>
      <c r="GJ842" s="104"/>
      <c r="GK842" s="104"/>
      <c r="GL842" s="104"/>
      <c r="GM842" s="104"/>
      <c r="GN842" s="104"/>
      <c r="GO842" s="104"/>
      <c r="GP842" s="104"/>
      <c r="GQ842" s="104"/>
      <c r="GR842" s="104"/>
      <c r="GS842" s="104"/>
      <c r="GT842" s="104"/>
      <c r="GU842" s="104"/>
      <c r="GV842" s="104"/>
      <c r="GW842" s="104"/>
      <c r="GX842" s="104"/>
      <c r="GY842" s="104"/>
      <c r="GZ842" s="104"/>
      <c r="HA842" s="104"/>
      <c r="HB842" s="104"/>
      <c r="HC842" s="104"/>
      <c r="HD842" s="104"/>
      <c r="HE842" s="104"/>
      <c r="HF842" s="104"/>
      <c r="HG842" s="104"/>
      <c r="HH842" s="104"/>
      <c r="HI842" s="104"/>
      <c r="HJ842" s="104"/>
      <c r="HK842" s="104"/>
      <c r="HL842" s="104"/>
      <c r="HM842" s="104"/>
      <c r="HN842" s="104"/>
      <c r="HO842" s="104"/>
      <c r="HP842" s="104"/>
      <c r="HQ842" s="104"/>
      <c r="HR842" s="104"/>
      <c r="HS842" s="104"/>
      <c r="HT842" s="104"/>
      <c r="HU842" s="104"/>
      <c r="HV842" s="104"/>
      <c r="HW842" s="104"/>
      <c r="HX842" s="104"/>
      <c r="HY842" s="104"/>
      <c r="HZ842" s="104"/>
      <c r="IA842" s="104"/>
      <c r="IB842" s="104"/>
      <c r="IC842" s="104"/>
      <c r="ID842" s="104"/>
      <c r="IE842" s="104"/>
      <c r="IF842" s="104"/>
      <c r="IG842" s="104"/>
      <c r="IH842" s="104"/>
      <c r="II842" s="104"/>
      <c r="IJ842" s="104"/>
      <c r="IK842" s="104"/>
      <c r="IL842" s="104"/>
      <c r="IM842" s="104"/>
      <c r="IN842" s="104"/>
      <c r="IO842" s="104"/>
      <c r="IP842" s="104"/>
      <c r="IQ842" s="104"/>
      <c r="IR842" s="104"/>
      <c r="IS842" s="104"/>
      <c r="IT842" s="104"/>
      <c r="IU842" s="104"/>
      <c r="IV842" s="104"/>
      <c r="IW842" s="104"/>
      <c r="IX842" s="104"/>
      <c r="IY842" s="104"/>
      <c r="IZ842" s="104"/>
      <c r="JA842" s="104"/>
      <c r="JB842" s="104"/>
      <c r="JC842" s="104"/>
    </row>
    <row r="843" spans="1:263" ht="18" customHeight="1" x14ac:dyDescent="0.2">
      <c r="A843" s="40" t="s">
        <v>188</v>
      </c>
      <c r="B843" s="47" t="s">
        <v>438</v>
      </c>
      <c r="C843" s="32" t="s">
        <v>1</v>
      </c>
      <c r="D843" s="32"/>
      <c r="E843" s="89"/>
      <c r="F843" s="89"/>
      <c r="G843" s="89"/>
      <c r="H843" s="89"/>
      <c r="I843" s="89"/>
      <c r="J843" s="89"/>
      <c r="K843" s="157"/>
      <c r="L843" s="157">
        <v>180</v>
      </c>
      <c r="M843" s="158">
        <f t="shared" si="121"/>
        <v>0</v>
      </c>
      <c r="N843" s="34"/>
      <c r="O843" s="82">
        <f t="shared" si="126"/>
        <v>0</v>
      </c>
    </row>
    <row r="844" spans="1:263" s="136" customFormat="1" ht="18" customHeight="1" x14ac:dyDescent="0.2">
      <c r="A844" s="130" t="s">
        <v>188</v>
      </c>
      <c r="B844" s="144" t="s">
        <v>519</v>
      </c>
      <c r="C844" s="139" t="s">
        <v>500</v>
      </c>
      <c r="D844" s="139">
        <v>2</v>
      </c>
      <c r="E844" s="145"/>
      <c r="F844" s="145"/>
      <c r="G844" s="145"/>
      <c r="H844" s="145">
        <f t="shared" ref="H844" si="127">PRODUCT(D844:G844)</f>
        <v>2</v>
      </c>
      <c r="I844" s="145">
        <f>H844</f>
        <v>2</v>
      </c>
      <c r="J844" s="145">
        <f>I844</f>
        <v>2</v>
      </c>
      <c r="K844" s="146">
        <v>2</v>
      </c>
      <c r="L844" s="146">
        <v>30000</v>
      </c>
      <c r="M844" s="134">
        <f t="shared" si="121"/>
        <v>60000</v>
      </c>
      <c r="N844" s="147"/>
      <c r="O844" s="82">
        <f t="shared" si="126"/>
        <v>0</v>
      </c>
      <c r="P844" s="135"/>
      <c r="Q844" s="135"/>
      <c r="R844" s="135"/>
      <c r="S844" s="135"/>
      <c r="T844" s="135"/>
      <c r="U844" s="135"/>
      <c r="V844" s="135"/>
      <c r="W844" s="135"/>
      <c r="X844" s="135"/>
      <c r="Y844" s="135"/>
      <c r="Z844" s="135"/>
      <c r="AA844" s="135"/>
      <c r="AB844" s="135"/>
      <c r="AC844" s="135"/>
      <c r="AD844" s="135"/>
      <c r="AE844" s="135"/>
      <c r="AF844" s="135"/>
      <c r="AG844" s="135"/>
      <c r="AH844" s="135"/>
      <c r="AI844" s="135"/>
      <c r="AJ844" s="135"/>
      <c r="AK844" s="135"/>
      <c r="AL844" s="135"/>
      <c r="AM844" s="135"/>
      <c r="AN844" s="135"/>
      <c r="AO844" s="135"/>
      <c r="AP844" s="135"/>
      <c r="AQ844" s="135"/>
      <c r="AR844" s="135"/>
      <c r="AS844" s="135"/>
      <c r="AT844" s="135"/>
      <c r="AU844" s="135"/>
      <c r="AV844" s="135"/>
      <c r="AW844" s="135"/>
      <c r="AX844" s="135"/>
      <c r="AY844" s="135"/>
      <c r="AZ844" s="135"/>
      <c r="BA844" s="135"/>
      <c r="BB844" s="135"/>
      <c r="BC844" s="135"/>
      <c r="BD844" s="135"/>
      <c r="BE844" s="135"/>
      <c r="BF844" s="135"/>
      <c r="BG844" s="135"/>
      <c r="BH844" s="135"/>
      <c r="BI844" s="135"/>
      <c r="BJ844" s="135"/>
      <c r="BK844" s="135"/>
      <c r="BL844" s="135"/>
      <c r="BM844" s="135"/>
      <c r="BN844" s="135"/>
      <c r="BO844" s="135"/>
      <c r="BP844" s="135"/>
      <c r="BQ844" s="135"/>
      <c r="BR844" s="135"/>
      <c r="BS844" s="135"/>
      <c r="BT844" s="135"/>
      <c r="BU844" s="135"/>
      <c r="BV844" s="135"/>
      <c r="BW844" s="135"/>
      <c r="BX844" s="135"/>
      <c r="BY844" s="135"/>
      <c r="BZ844" s="135"/>
      <c r="CA844" s="135"/>
      <c r="CB844" s="135"/>
      <c r="CC844" s="135"/>
      <c r="CD844" s="135"/>
      <c r="CE844" s="135"/>
      <c r="CF844" s="135"/>
      <c r="CG844" s="135"/>
      <c r="CH844" s="135"/>
      <c r="CI844" s="135"/>
      <c r="CJ844" s="135"/>
      <c r="CK844" s="135"/>
      <c r="CL844" s="135"/>
      <c r="CM844" s="135"/>
      <c r="CN844" s="135"/>
      <c r="CO844" s="135"/>
      <c r="CP844" s="135"/>
      <c r="CQ844" s="135"/>
      <c r="CR844" s="135"/>
      <c r="CS844" s="135"/>
      <c r="CT844" s="135"/>
      <c r="CU844" s="135"/>
      <c r="CV844" s="135"/>
      <c r="CW844" s="135"/>
      <c r="CX844" s="135"/>
      <c r="CY844" s="135"/>
      <c r="CZ844" s="135"/>
      <c r="DA844" s="135"/>
      <c r="DB844" s="135"/>
      <c r="DC844" s="135"/>
      <c r="DD844" s="135"/>
      <c r="DE844" s="135"/>
      <c r="DF844" s="135"/>
      <c r="DG844" s="135"/>
      <c r="DH844" s="135"/>
      <c r="DI844" s="135"/>
      <c r="DJ844" s="135"/>
      <c r="DK844" s="135"/>
      <c r="DL844" s="135"/>
      <c r="DM844" s="135"/>
      <c r="DN844" s="135"/>
      <c r="DO844" s="135"/>
      <c r="DP844" s="135"/>
      <c r="DQ844" s="135"/>
      <c r="DR844" s="135"/>
      <c r="DS844" s="135"/>
      <c r="DT844" s="135"/>
      <c r="DU844" s="135"/>
      <c r="DV844" s="135"/>
      <c r="DW844" s="135"/>
      <c r="DX844" s="135"/>
      <c r="DY844" s="135"/>
      <c r="DZ844" s="135"/>
      <c r="EA844" s="135"/>
      <c r="EB844" s="135"/>
      <c r="EC844" s="135"/>
      <c r="ED844" s="135"/>
      <c r="EE844" s="135"/>
      <c r="EF844" s="135"/>
      <c r="EG844" s="135"/>
      <c r="EH844" s="135"/>
      <c r="EI844" s="135"/>
      <c r="EJ844" s="135"/>
      <c r="EK844" s="135"/>
      <c r="EL844" s="135"/>
      <c r="EM844" s="135"/>
      <c r="EN844" s="135"/>
      <c r="EO844" s="135"/>
      <c r="EP844" s="135"/>
      <c r="EQ844" s="135"/>
      <c r="ER844" s="135"/>
      <c r="ES844" s="135"/>
      <c r="ET844" s="135"/>
      <c r="EU844" s="135"/>
      <c r="EV844" s="135"/>
      <c r="EW844" s="135"/>
      <c r="EX844" s="135"/>
      <c r="EY844" s="135"/>
      <c r="EZ844" s="135"/>
      <c r="FA844" s="135"/>
      <c r="FB844" s="135"/>
      <c r="FC844" s="135"/>
      <c r="FD844" s="135"/>
      <c r="FE844" s="135"/>
      <c r="FF844" s="135"/>
      <c r="FG844" s="135"/>
      <c r="FH844" s="135"/>
      <c r="FI844" s="135"/>
      <c r="FJ844" s="135"/>
      <c r="FK844" s="135"/>
      <c r="FL844" s="135"/>
      <c r="FM844" s="135"/>
      <c r="FN844" s="135"/>
      <c r="FO844" s="135"/>
      <c r="FP844" s="135"/>
      <c r="FQ844" s="135"/>
      <c r="FR844" s="135"/>
      <c r="FS844" s="135"/>
      <c r="FT844" s="135"/>
      <c r="FU844" s="135"/>
      <c r="FV844" s="135"/>
      <c r="FW844" s="135"/>
      <c r="FX844" s="135"/>
      <c r="FY844" s="135"/>
      <c r="FZ844" s="135"/>
      <c r="GA844" s="135"/>
      <c r="GB844" s="135"/>
      <c r="GC844" s="135"/>
      <c r="GD844" s="135"/>
      <c r="GE844" s="135"/>
      <c r="GF844" s="135"/>
      <c r="GG844" s="135"/>
      <c r="GH844" s="135"/>
      <c r="GI844" s="135"/>
      <c r="GJ844" s="135"/>
      <c r="GK844" s="135"/>
      <c r="GL844" s="135"/>
      <c r="GM844" s="135"/>
      <c r="GN844" s="135"/>
      <c r="GO844" s="135"/>
      <c r="GP844" s="135"/>
      <c r="GQ844" s="135"/>
      <c r="GR844" s="135"/>
      <c r="GS844" s="135"/>
      <c r="GT844" s="135"/>
      <c r="GU844" s="135"/>
      <c r="GV844" s="135"/>
      <c r="GW844" s="135"/>
      <c r="GX844" s="135"/>
      <c r="GY844" s="135"/>
      <c r="GZ844" s="135"/>
      <c r="HA844" s="135"/>
      <c r="HB844" s="135"/>
      <c r="HC844" s="135"/>
      <c r="HD844" s="135"/>
      <c r="HE844" s="135"/>
      <c r="HF844" s="135"/>
      <c r="HG844" s="135"/>
      <c r="HH844" s="135"/>
      <c r="HI844" s="135"/>
      <c r="HJ844" s="135"/>
      <c r="HK844" s="135"/>
      <c r="HL844" s="135"/>
      <c r="HM844" s="135"/>
      <c r="HN844" s="135"/>
      <c r="HO844" s="135"/>
      <c r="HP844" s="135"/>
      <c r="HQ844" s="135"/>
      <c r="HR844" s="135"/>
      <c r="HS844" s="135"/>
      <c r="HT844" s="135"/>
      <c r="HU844" s="135"/>
      <c r="HV844" s="135"/>
      <c r="HW844" s="135"/>
      <c r="HX844" s="135"/>
      <c r="HY844" s="135"/>
      <c r="HZ844" s="135"/>
      <c r="IA844" s="135"/>
      <c r="IB844" s="135"/>
      <c r="IC844" s="135"/>
      <c r="ID844" s="135"/>
      <c r="IE844" s="135"/>
      <c r="IF844" s="135"/>
      <c r="IG844" s="135"/>
      <c r="IH844" s="135"/>
      <c r="II844" s="135"/>
      <c r="IJ844" s="135"/>
      <c r="IK844" s="135"/>
      <c r="IL844" s="135"/>
      <c r="IM844" s="135"/>
      <c r="IN844" s="135"/>
      <c r="IO844" s="135"/>
      <c r="IP844" s="135"/>
      <c r="IQ844" s="135"/>
      <c r="IR844" s="135"/>
      <c r="IS844" s="135"/>
      <c r="IT844" s="135"/>
      <c r="IU844" s="135"/>
      <c r="IV844" s="135"/>
      <c r="IW844" s="135"/>
      <c r="IX844" s="135"/>
      <c r="IY844" s="135"/>
      <c r="IZ844" s="135"/>
      <c r="JA844" s="135"/>
      <c r="JB844" s="135"/>
      <c r="JC844" s="135"/>
    </row>
    <row r="845" spans="1:263" ht="18" customHeight="1" x14ac:dyDescent="0.2">
      <c r="A845" s="250" t="s">
        <v>104</v>
      </c>
      <c r="B845" s="251"/>
      <c r="C845" s="251"/>
      <c r="D845" s="251"/>
      <c r="E845" s="251"/>
      <c r="F845" s="251"/>
      <c r="G845" s="251"/>
      <c r="H845" s="251"/>
      <c r="I845" s="251"/>
      <c r="J845" s="251"/>
      <c r="K845" s="251"/>
      <c r="L845" s="252"/>
      <c r="M845" s="159">
        <f>SUM(M818:M844)</f>
        <v>69400</v>
      </c>
      <c r="O845" s="82">
        <f t="shared" si="126"/>
        <v>0</v>
      </c>
    </row>
    <row r="846" spans="1:263" ht="18" customHeight="1" x14ac:dyDescent="0.2">
      <c r="A846" s="250" t="s">
        <v>105</v>
      </c>
      <c r="B846" s="251"/>
      <c r="C846" s="251"/>
      <c r="D846" s="251"/>
      <c r="E846" s="251"/>
      <c r="F846" s="251"/>
      <c r="G846" s="251"/>
      <c r="H846" s="251"/>
      <c r="I846" s="251"/>
      <c r="J846" s="251"/>
      <c r="K846" s="251"/>
      <c r="L846" s="252"/>
      <c r="M846" s="159">
        <f>M845+M817+M585+M436+M299+M263+M219+M171+M59</f>
        <v>1684845</v>
      </c>
      <c r="O846" s="82">
        <f t="shared" si="126"/>
        <v>0</v>
      </c>
    </row>
    <row r="847" spans="1:263" ht="18" customHeight="1" x14ac:dyDescent="0.2">
      <c r="A847" s="24"/>
      <c r="B847" s="25" t="s">
        <v>189</v>
      </c>
      <c r="C847" s="26"/>
      <c r="D847" s="26"/>
      <c r="E847" s="88"/>
      <c r="F847" s="88"/>
      <c r="G847" s="88"/>
      <c r="H847" s="88"/>
      <c r="I847" s="88"/>
      <c r="J847" s="88"/>
      <c r="K847" s="155"/>
      <c r="L847" s="155"/>
      <c r="M847" s="158"/>
      <c r="O847" s="82">
        <f t="shared" si="126"/>
        <v>0</v>
      </c>
    </row>
    <row r="848" spans="1:263" ht="18" customHeight="1" x14ac:dyDescent="0.2">
      <c r="A848" s="40" t="s">
        <v>190</v>
      </c>
      <c r="B848" s="46" t="s">
        <v>120</v>
      </c>
      <c r="C848" s="41" t="s">
        <v>4</v>
      </c>
      <c r="D848" s="41"/>
      <c r="E848" s="90"/>
      <c r="F848" s="90"/>
      <c r="G848" s="90"/>
      <c r="H848" s="90"/>
      <c r="I848" s="90"/>
      <c r="J848" s="90">
        <f>SUM(I850:I864)</f>
        <v>754.12</v>
      </c>
      <c r="K848" s="163">
        <v>755</v>
      </c>
      <c r="L848" s="163">
        <v>25</v>
      </c>
      <c r="M848" s="158">
        <f t="shared" ref="M848:M894" si="128">+L848*K848</f>
        <v>18875</v>
      </c>
      <c r="N848" s="43"/>
      <c r="O848" s="82">
        <f t="shared" si="126"/>
        <v>0.87999999999999545</v>
      </c>
    </row>
    <row r="849" spans="1:15" s="5" customFormat="1" ht="16.149999999999999" customHeight="1" x14ac:dyDescent="0.2">
      <c r="A849" s="30"/>
      <c r="B849" s="98" t="s">
        <v>464</v>
      </c>
      <c r="C849" s="32"/>
      <c r="D849" s="32"/>
      <c r="E849" s="89"/>
      <c r="F849" s="89"/>
      <c r="G849" s="89"/>
      <c r="H849" s="89"/>
      <c r="I849" s="89"/>
      <c r="K849" s="157"/>
      <c r="L849" s="157"/>
      <c r="M849" s="158"/>
      <c r="O849" s="82">
        <f t="shared" si="126"/>
        <v>0</v>
      </c>
    </row>
    <row r="850" spans="1:15" ht="16.5" customHeight="1" x14ac:dyDescent="0.2">
      <c r="A850" s="40"/>
      <c r="B850" s="45"/>
      <c r="C850" s="41"/>
      <c r="D850" s="41">
        <v>1</v>
      </c>
      <c r="E850" s="90">
        <f>11.25-0.2</f>
        <v>11.05</v>
      </c>
      <c r="F850" s="90">
        <f>34.2-0.2</f>
        <v>34</v>
      </c>
      <c r="G850" s="90"/>
      <c r="H850" s="89">
        <f t="shared" ref="H850:H864" si="129">PRODUCT(D850:G850)</f>
        <v>375.70000000000005</v>
      </c>
      <c r="I850" s="90"/>
      <c r="J850" s="90"/>
      <c r="K850" s="163"/>
      <c r="L850" s="163"/>
      <c r="M850" s="158"/>
      <c r="O850" s="82">
        <f t="shared" si="126"/>
        <v>0</v>
      </c>
    </row>
    <row r="851" spans="1:15" ht="16.5" customHeight="1" x14ac:dyDescent="0.2">
      <c r="A851" s="40"/>
      <c r="B851" s="45"/>
      <c r="C851" s="41"/>
      <c r="D851" s="41">
        <v>2</v>
      </c>
      <c r="E851" s="90">
        <v>3.95</v>
      </c>
      <c r="F851" s="90">
        <f>3.8-0.2</f>
        <v>3.5999999999999996</v>
      </c>
      <c r="G851" s="90"/>
      <c r="H851" s="89">
        <f t="shared" si="129"/>
        <v>28.439999999999998</v>
      </c>
      <c r="I851" s="90"/>
      <c r="J851" s="90"/>
      <c r="K851" s="163"/>
      <c r="L851" s="163"/>
      <c r="M851" s="158"/>
      <c r="O851" s="82">
        <f t="shared" si="126"/>
        <v>0</v>
      </c>
    </row>
    <row r="852" spans="1:15" ht="16.5" customHeight="1" x14ac:dyDescent="0.2">
      <c r="A852" s="40"/>
      <c r="B852" s="45"/>
      <c r="C852" s="41"/>
      <c r="D852" s="41">
        <v>1</v>
      </c>
      <c r="E852" s="90">
        <f>+E850</f>
        <v>11.05</v>
      </c>
      <c r="F852" s="90">
        <f>43.7-34.2-0.1</f>
        <v>9.4</v>
      </c>
      <c r="G852" s="90"/>
      <c r="H852" s="89">
        <f t="shared" si="129"/>
        <v>103.87</v>
      </c>
      <c r="I852" s="90"/>
      <c r="J852" s="90"/>
      <c r="K852" s="163"/>
      <c r="L852" s="163"/>
      <c r="M852" s="158"/>
      <c r="O852" s="82">
        <f t="shared" si="126"/>
        <v>0</v>
      </c>
    </row>
    <row r="853" spans="1:15" ht="16.5" customHeight="1" x14ac:dyDescent="0.2">
      <c r="A853" s="40"/>
      <c r="B853" s="45"/>
      <c r="C853" s="41"/>
      <c r="D853" s="41"/>
      <c r="E853" s="90"/>
      <c r="F853" s="90"/>
      <c r="G853" s="90"/>
      <c r="H853" s="89">
        <f t="shared" si="129"/>
        <v>0</v>
      </c>
      <c r="I853" s="90">
        <f>SUM(H850:H852)</f>
        <v>508.01000000000005</v>
      </c>
      <c r="J853" s="90"/>
      <c r="K853" s="163"/>
      <c r="L853" s="163"/>
      <c r="M853" s="158"/>
      <c r="O853" s="82">
        <f t="shared" si="126"/>
        <v>0</v>
      </c>
    </row>
    <row r="854" spans="1:15" s="5" customFormat="1" ht="16.149999999999999" customHeight="1" x14ac:dyDescent="0.2">
      <c r="A854" s="30"/>
      <c r="B854" s="98" t="s">
        <v>465</v>
      </c>
      <c r="C854" s="32"/>
      <c r="D854" s="32"/>
      <c r="E854" s="89"/>
      <c r="F854" s="89"/>
      <c r="G854" s="89"/>
      <c r="H854" s="89">
        <f t="shared" si="129"/>
        <v>0</v>
      </c>
      <c r="I854" s="89"/>
      <c r="J854" s="89"/>
      <c r="K854" s="157"/>
      <c r="L854" s="157"/>
      <c r="M854" s="158"/>
      <c r="O854" s="82">
        <f t="shared" si="126"/>
        <v>0</v>
      </c>
    </row>
    <row r="855" spans="1:15" ht="16.5" customHeight="1" x14ac:dyDescent="0.2">
      <c r="A855" s="40"/>
      <c r="B855" s="45"/>
      <c r="C855" s="41"/>
      <c r="D855" s="41">
        <v>1</v>
      </c>
      <c r="E855" s="90">
        <v>69.5</v>
      </c>
      <c r="F855" s="90">
        <v>1</v>
      </c>
      <c r="G855" s="90"/>
      <c r="H855" s="89">
        <f t="shared" si="129"/>
        <v>69.5</v>
      </c>
      <c r="I855" s="90"/>
      <c r="J855" s="90"/>
      <c r="K855" s="163"/>
      <c r="L855" s="163"/>
      <c r="M855" s="158"/>
      <c r="O855" s="82">
        <f t="shared" si="126"/>
        <v>0</v>
      </c>
    </row>
    <row r="856" spans="1:15" ht="16.5" customHeight="1" x14ac:dyDescent="0.2">
      <c r="A856" s="40"/>
      <c r="B856" s="45"/>
      <c r="C856" s="41"/>
      <c r="D856" s="41"/>
      <c r="E856" s="90"/>
      <c r="F856" s="90"/>
      <c r="G856" s="90"/>
      <c r="H856" s="89">
        <f t="shared" si="129"/>
        <v>0</v>
      </c>
      <c r="I856" s="90">
        <f>SUM(H855:H856)</f>
        <v>69.5</v>
      </c>
      <c r="J856" s="90"/>
      <c r="K856" s="163"/>
      <c r="L856" s="163"/>
      <c r="M856" s="158"/>
      <c r="O856" s="82">
        <f t="shared" si="126"/>
        <v>0</v>
      </c>
    </row>
    <row r="857" spans="1:15" s="5" customFormat="1" ht="16.149999999999999" customHeight="1" x14ac:dyDescent="0.2">
      <c r="A857" s="30"/>
      <c r="B857" s="98" t="s">
        <v>530</v>
      </c>
      <c r="C857" s="32"/>
      <c r="D857" s="32"/>
      <c r="E857" s="89"/>
      <c r="F857" s="89"/>
      <c r="G857" s="89"/>
      <c r="H857" s="89">
        <f t="shared" si="129"/>
        <v>0</v>
      </c>
      <c r="I857" s="89"/>
      <c r="J857" s="89"/>
      <c r="K857" s="157"/>
      <c r="L857" s="157"/>
      <c r="M857" s="158"/>
      <c r="O857" s="82">
        <f t="shared" si="126"/>
        <v>0</v>
      </c>
    </row>
    <row r="858" spans="1:15" ht="16.5" customHeight="1" x14ac:dyDescent="0.2">
      <c r="A858" s="40"/>
      <c r="B858" s="45"/>
      <c r="C858" s="41"/>
      <c r="D858" s="41">
        <v>1</v>
      </c>
      <c r="E858" s="90">
        <v>87.01</v>
      </c>
      <c r="F858" s="90"/>
      <c r="G858" s="90"/>
      <c r="H858" s="89">
        <f t="shared" si="129"/>
        <v>87.01</v>
      </c>
      <c r="I858" s="90"/>
      <c r="J858" s="90"/>
      <c r="K858" s="163"/>
      <c r="L858" s="163"/>
      <c r="M858" s="158"/>
      <c r="O858" s="82">
        <f t="shared" si="126"/>
        <v>0</v>
      </c>
    </row>
    <row r="859" spans="1:15" ht="16.5" customHeight="1" x14ac:dyDescent="0.2">
      <c r="A859" s="40"/>
      <c r="B859" s="45"/>
      <c r="C859" s="41"/>
      <c r="D859" s="41"/>
      <c r="E859" s="90"/>
      <c r="F859" s="90"/>
      <c r="G859" s="90"/>
      <c r="H859" s="89">
        <f t="shared" si="129"/>
        <v>0</v>
      </c>
      <c r="I859" s="90">
        <f>SUM(H858:H858)</f>
        <v>87.01</v>
      </c>
      <c r="J859" s="90"/>
      <c r="K859" s="163"/>
      <c r="L859" s="163"/>
      <c r="M859" s="158"/>
      <c r="O859" s="82">
        <f t="shared" si="126"/>
        <v>0</v>
      </c>
    </row>
    <row r="860" spans="1:15" s="5" customFormat="1" ht="16.149999999999999" customHeight="1" x14ac:dyDescent="0.2">
      <c r="A860" s="30"/>
      <c r="B860" s="98" t="s">
        <v>466</v>
      </c>
      <c r="C860" s="32"/>
      <c r="D860" s="32"/>
      <c r="E860" s="89"/>
      <c r="F860" s="89"/>
      <c r="G860" s="89"/>
      <c r="H860" s="89">
        <f t="shared" si="129"/>
        <v>0</v>
      </c>
      <c r="I860" s="89"/>
      <c r="J860" s="89"/>
      <c r="K860" s="157"/>
      <c r="L860" s="157"/>
      <c r="M860" s="158"/>
      <c r="O860" s="82">
        <f t="shared" si="126"/>
        <v>0</v>
      </c>
    </row>
    <row r="861" spans="1:15" ht="16.5" customHeight="1" x14ac:dyDescent="0.2">
      <c r="A861" s="40"/>
      <c r="B861" s="45"/>
      <c r="C861" s="41"/>
      <c r="D861" s="41">
        <v>1</v>
      </c>
      <c r="E861" s="90">
        <f>8.8-0.2</f>
        <v>8.6000000000000014</v>
      </c>
      <c r="F861" s="90">
        <f>9.8-0.2</f>
        <v>9.6000000000000014</v>
      </c>
      <c r="G861" s="90"/>
      <c r="H861" s="89">
        <f t="shared" si="129"/>
        <v>82.560000000000031</v>
      </c>
      <c r="I861" s="90"/>
      <c r="J861" s="90"/>
      <c r="K861" s="163"/>
      <c r="L861" s="163"/>
      <c r="M861" s="158"/>
      <c r="O861" s="82">
        <f t="shared" si="126"/>
        <v>0</v>
      </c>
    </row>
    <row r="862" spans="1:15" ht="16.5" customHeight="1" x14ac:dyDescent="0.2">
      <c r="A862" s="40"/>
      <c r="B862" s="45"/>
      <c r="C862" s="41"/>
      <c r="D862" s="41"/>
      <c r="E862" s="90"/>
      <c r="F862" s="90"/>
      <c r="G862" s="90"/>
      <c r="H862" s="89">
        <f t="shared" si="129"/>
        <v>0</v>
      </c>
      <c r="I862" s="90">
        <f>SUM(H861:H862)</f>
        <v>82.560000000000031</v>
      </c>
      <c r="J862" s="90"/>
      <c r="K862" s="163"/>
      <c r="L862" s="163"/>
      <c r="M862" s="158"/>
      <c r="O862" s="82">
        <f t="shared" si="126"/>
        <v>0</v>
      </c>
    </row>
    <row r="863" spans="1:15" s="5" customFormat="1" ht="16.149999999999999" customHeight="1" x14ac:dyDescent="0.2">
      <c r="A863" s="30"/>
      <c r="B863" s="98" t="s">
        <v>467</v>
      </c>
      <c r="C863" s="32"/>
      <c r="D863" s="32">
        <v>1</v>
      </c>
      <c r="E863" s="89">
        <v>2.2000000000000002</v>
      </c>
      <c r="F863" s="89">
        <v>3.2</v>
      </c>
      <c r="G863" s="89"/>
      <c r="H863" s="89">
        <f t="shared" si="129"/>
        <v>7.0400000000000009</v>
      </c>
      <c r="I863" s="89"/>
      <c r="J863" s="89"/>
      <c r="K863" s="157"/>
      <c r="L863" s="157"/>
      <c r="M863" s="158"/>
      <c r="O863" s="82">
        <f t="shared" si="126"/>
        <v>0</v>
      </c>
    </row>
    <row r="864" spans="1:15" ht="16.5" customHeight="1" x14ac:dyDescent="0.2">
      <c r="A864" s="40"/>
      <c r="B864" s="45"/>
      <c r="C864" s="41"/>
      <c r="D864" s="41"/>
      <c r="E864" s="90"/>
      <c r="F864" s="90"/>
      <c r="G864" s="90"/>
      <c r="H864" s="89">
        <f t="shared" si="129"/>
        <v>0</v>
      </c>
      <c r="I864" s="90">
        <f>SUM(H863:H864)</f>
        <v>7.0400000000000009</v>
      </c>
      <c r="J864" s="90"/>
      <c r="K864" s="163"/>
      <c r="L864" s="163"/>
      <c r="M864" s="158"/>
      <c r="O864" s="82">
        <f t="shared" si="126"/>
        <v>0</v>
      </c>
    </row>
    <row r="865" spans="1:15" ht="18" customHeight="1" x14ac:dyDescent="0.2">
      <c r="A865" s="40" t="s">
        <v>191</v>
      </c>
      <c r="B865" s="46" t="s">
        <v>439</v>
      </c>
      <c r="C865" s="41" t="s">
        <v>4</v>
      </c>
      <c r="D865" s="41"/>
      <c r="E865" s="90"/>
      <c r="F865" s="90"/>
      <c r="G865" s="90"/>
      <c r="H865" s="90"/>
      <c r="I865" s="90"/>
      <c r="J865" s="90">
        <f>J848</f>
        <v>754.12</v>
      </c>
      <c r="K865" s="164">
        <f>K848</f>
        <v>755</v>
      </c>
      <c r="L865" s="163">
        <v>120</v>
      </c>
      <c r="M865" s="158">
        <f t="shared" si="128"/>
        <v>90600</v>
      </c>
      <c r="N865" s="43"/>
      <c r="O865" s="82">
        <f t="shared" si="126"/>
        <v>0.87999999999999545</v>
      </c>
    </row>
    <row r="866" spans="1:15" ht="18" customHeight="1" x14ac:dyDescent="0.2">
      <c r="A866" s="40"/>
      <c r="B866" s="46"/>
      <c r="C866" s="41"/>
      <c r="D866" s="41"/>
      <c r="E866" s="90"/>
      <c r="F866" s="90"/>
      <c r="G866" s="90"/>
      <c r="H866" s="90"/>
      <c r="I866" s="90"/>
      <c r="J866" s="90"/>
      <c r="K866" s="164"/>
      <c r="L866" s="163"/>
      <c r="M866" s="158"/>
      <c r="N866" s="43"/>
      <c r="O866" s="82">
        <f t="shared" si="126"/>
        <v>0</v>
      </c>
    </row>
    <row r="867" spans="1:15" ht="18" customHeight="1" x14ac:dyDescent="0.2">
      <c r="A867" s="40" t="s">
        <v>192</v>
      </c>
      <c r="B867" s="46" t="s">
        <v>8</v>
      </c>
      <c r="C867" s="41" t="s">
        <v>1</v>
      </c>
      <c r="D867" s="41"/>
      <c r="E867" s="90"/>
      <c r="F867" s="90"/>
      <c r="G867" s="90"/>
      <c r="H867" s="90"/>
      <c r="I867" s="90"/>
      <c r="J867" s="90">
        <f>SUM(I870:I890)</f>
        <v>274.8</v>
      </c>
      <c r="K867" s="163">
        <v>280</v>
      </c>
      <c r="L867" s="163">
        <v>40</v>
      </c>
      <c r="M867" s="158">
        <f t="shared" si="128"/>
        <v>11200</v>
      </c>
      <c r="N867" s="43"/>
      <c r="O867" s="82">
        <f t="shared" si="126"/>
        <v>5.1999999999999886</v>
      </c>
    </row>
    <row r="868" spans="1:15" s="5" customFormat="1" ht="16.149999999999999" customHeight="1" x14ac:dyDescent="0.2">
      <c r="A868" s="30"/>
      <c r="B868" s="98" t="s">
        <v>464</v>
      </c>
      <c r="C868" s="32"/>
      <c r="D868" s="32"/>
      <c r="E868" s="89"/>
      <c r="F868" s="89"/>
      <c r="G868" s="89"/>
      <c r="H868" s="89"/>
      <c r="I868" s="89"/>
      <c r="K868" s="157"/>
      <c r="L868" s="157"/>
      <c r="M868" s="158"/>
      <c r="O868" s="82">
        <f t="shared" si="126"/>
        <v>0</v>
      </c>
    </row>
    <row r="869" spans="1:15" ht="16.5" customHeight="1" x14ac:dyDescent="0.2">
      <c r="A869" s="40"/>
      <c r="B869" s="143">
        <v>1</v>
      </c>
      <c r="C869" s="41"/>
      <c r="D869" s="41">
        <v>4</v>
      </c>
      <c r="E869" s="90">
        <f>15.2-0.2</f>
        <v>15</v>
      </c>
      <c r="F869" s="90"/>
      <c r="G869" s="90"/>
      <c r="H869" s="89">
        <f t="shared" ref="H869:H872" si="130">PRODUCT(D869:G869)</f>
        <v>60</v>
      </c>
      <c r="I869" s="90"/>
      <c r="J869" s="90"/>
      <c r="K869" s="163"/>
      <c r="L869" s="163"/>
      <c r="M869" s="158"/>
      <c r="O869" s="82">
        <f t="shared" si="126"/>
        <v>0</v>
      </c>
    </row>
    <row r="870" spans="1:15" ht="16.5" customHeight="1" x14ac:dyDescent="0.2">
      <c r="A870" s="40"/>
      <c r="B870" s="45"/>
      <c r="C870" s="41"/>
      <c r="D870" s="41">
        <v>2</v>
      </c>
      <c r="E870" s="90">
        <f>34.2-0.1*4</f>
        <v>33.800000000000004</v>
      </c>
      <c r="F870" s="90"/>
      <c r="G870" s="90"/>
      <c r="H870" s="89">
        <f t="shared" si="130"/>
        <v>67.600000000000009</v>
      </c>
      <c r="I870" s="90"/>
      <c r="J870" s="90"/>
      <c r="K870" s="163"/>
      <c r="L870" s="163"/>
      <c r="M870" s="158"/>
      <c r="O870" s="82">
        <f t="shared" si="126"/>
        <v>0</v>
      </c>
    </row>
    <row r="871" spans="1:15" ht="16.5" customHeight="1" x14ac:dyDescent="0.2">
      <c r="A871" s="40"/>
      <c r="B871" s="143">
        <v>2</v>
      </c>
      <c r="C871" s="41"/>
      <c r="D871" s="41">
        <v>2</v>
      </c>
      <c r="E871" s="90">
        <f>9.5-0.1*2</f>
        <v>9.3000000000000007</v>
      </c>
      <c r="F871" s="90"/>
      <c r="G871" s="90"/>
      <c r="H871" s="89">
        <f t="shared" si="130"/>
        <v>18.600000000000001</v>
      </c>
      <c r="I871" s="80"/>
      <c r="J871" s="90"/>
      <c r="K871" s="163"/>
      <c r="L871" s="163"/>
      <c r="M871" s="158"/>
      <c r="O871" s="82">
        <f t="shared" si="126"/>
        <v>0</v>
      </c>
    </row>
    <row r="872" spans="1:15" ht="16.5" customHeight="1" x14ac:dyDescent="0.2">
      <c r="A872" s="40"/>
      <c r="B872" s="45"/>
      <c r="C872" s="41"/>
      <c r="D872" s="41">
        <v>2</v>
      </c>
      <c r="E872" s="90">
        <f>11.25-0.1*2</f>
        <v>11.05</v>
      </c>
      <c r="F872" s="90"/>
      <c r="G872" s="90"/>
      <c r="H872" s="89">
        <f t="shared" si="130"/>
        <v>22.1</v>
      </c>
      <c r="I872" s="90"/>
      <c r="J872" s="90"/>
      <c r="K872" s="163"/>
      <c r="L872" s="163"/>
      <c r="M872" s="158"/>
      <c r="O872" s="82">
        <f t="shared" si="126"/>
        <v>0</v>
      </c>
    </row>
    <row r="873" spans="1:15" ht="16.5" customHeight="1" x14ac:dyDescent="0.2">
      <c r="A873" s="40"/>
      <c r="B873" s="45"/>
      <c r="C873" s="41"/>
      <c r="D873" s="41"/>
      <c r="E873" s="90"/>
      <c r="F873" s="90"/>
      <c r="G873" s="90"/>
      <c r="H873" s="89"/>
      <c r="I873" s="90">
        <f>SUM(H869:H871)</f>
        <v>146.20000000000002</v>
      </c>
      <c r="J873" s="90"/>
      <c r="K873" s="163"/>
      <c r="L873" s="163"/>
      <c r="M873" s="158"/>
      <c r="O873" s="82">
        <f t="shared" si="126"/>
        <v>0</v>
      </c>
    </row>
    <row r="874" spans="1:15" s="5" customFormat="1" ht="16.149999999999999" customHeight="1" x14ac:dyDescent="0.2">
      <c r="A874" s="30"/>
      <c r="B874" s="98" t="s">
        <v>465</v>
      </c>
      <c r="C874" s="32"/>
      <c r="D874" s="32"/>
      <c r="E874" s="89"/>
      <c r="F874" s="89"/>
      <c r="G874" s="89"/>
      <c r="H874" s="89">
        <f t="shared" ref="H874:H886" si="131">PRODUCT(D874:G874)</f>
        <v>0</v>
      </c>
      <c r="I874" s="89"/>
      <c r="J874" s="89"/>
      <c r="K874" s="157"/>
      <c r="L874" s="157"/>
      <c r="M874" s="158"/>
      <c r="O874" s="82">
        <f t="shared" si="126"/>
        <v>0</v>
      </c>
    </row>
    <row r="875" spans="1:15" ht="16.5" customHeight="1" x14ac:dyDescent="0.2">
      <c r="A875" s="40"/>
      <c r="B875" s="45"/>
      <c r="C875" s="41"/>
      <c r="D875" s="41">
        <v>2</v>
      </c>
      <c r="E875" s="90">
        <f>10.7-0.2</f>
        <v>10.5</v>
      </c>
      <c r="F875" s="90"/>
      <c r="G875" s="90"/>
      <c r="H875" s="89">
        <f t="shared" si="131"/>
        <v>21</v>
      </c>
      <c r="I875" s="90"/>
      <c r="J875" s="90"/>
      <c r="K875" s="163"/>
      <c r="L875" s="163"/>
      <c r="M875" s="158"/>
      <c r="O875" s="82">
        <f t="shared" si="126"/>
        <v>0</v>
      </c>
    </row>
    <row r="876" spans="1:15" ht="16.5" customHeight="1" x14ac:dyDescent="0.2">
      <c r="A876" s="40"/>
      <c r="B876" s="45"/>
      <c r="C876" s="41"/>
      <c r="D876" s="41">
        <v>2</v>
      </c>
      <c r="E876" s="90">
        <f>9.6-0.2</f>
        <v>9.4</v>
      </c>
      <c r="F876" s="90"/>
      <c r="G876" s="90"/>
      <c r="H876" s="89">
        <f t="shared" si="131"/>
        <v>18.8</v>
      </c>
      <c r="I876" s="90"/>
      <c r="J876" s="90"/>
      <c r="K876" s="163"/>
      <c r="L876" s="163"/>
      <c r="M876" s="158"/>
      <c r="O876" s="82">
        <f t="shared" si="126"/>
        <v>0</v>
      </c>
    </row>
    <row r="877" spans="1:15" ht="16.5" customHeight="1" x14ac:dyDescent="0.2">
      <c r="A877" s="40"/>
      <c r="B877" s="45"/>
      <c r="C877" s="41"/>
      <c r="D877" s="41"/>
      <c r="E877" s="90"/>
      <c r="F877" s="90"/>
      <c r="G877" s="90"/>
      <c r="H877" s="89">
        <f t="shared" si="131"/>
        <v>0</v>
      </c>
      <c r="I877" s="90">
        <f>SUM(H875:H877)</f>
        <v>39.799999999999997</v>
      </c>
      <c r="J877" s="90"/>
      <c r="K877" s="163"/>
      <c r="L877" s="163"/>
      <c r="M877" s="158"/>
      <c r="O877" s="82">
        <f t="shared" si="126"/>
        <v>0</v>
      </c>
    </row>
    <row r="878" spans="1:15" s="5" customFormat="1" ht="16.149999999999999" customHeight="1" x14ac:dyDescent="0.2">
      <c r="A878" s="30"/>
      <c r="B878" s="98" t="s">
        <v>530</v>
      </c>
      <c r="C878" s="32"/>
      <c r="D878" s="32"/>
      <c r="E878" s="89"/>
      <c r="F878" s="89"/>
      <c r="G878" s="89"/>
      <c r="H878" s="89">
        <f t="shared" si="131"/>
        <v>0</v>
      </c>
      <c r="I878" s="89"/>
      <c r="J878" s="89"/>
      <c r="K878" s="157"/>
      <c r="L878" s="157"/>
      <c r="M878" s="158"/>
      <c r="O878" s="82">
        <f t="shared" si="126"/>
        <v>0</v>
      </c>
    </row>
    <row r="879" spans="1:15" ht="16.5" customHeight="1" x14ac:dyDescent="0.2">
      <c r="A879" s="40"/>
      <c r="B879" s="45"/>
      <c r="C879" s="41"/>
      <c r="D879" s="41">
        <v>2</v>
      </c>
      <c r="E879" s="90">
        <f>11.1-0.1*2</f>
        <v>10.9</v>
      </c>
      <c r="F879" s="90"/>
      <c r="G879" s="90"/>
      <c r="H879" s="89">
        <f t="shared" si="131"/>
        <v>21.8</v>
      </c>
      <c r="I879" s="90"/>
      <c r="J879" s="90"/>
      <c r="K879" s="163"/>
      <c r="L879" s="163"/>
      <c r="M879" s="158"/>
      <c r="O879" s="82">
        <f t="shared" si="126"/>
        <v>0</v>
      </c>
    </row>
    <row r="880" spans="1:15" ht="16.5" customHeight="1" x14ac:dyDescent="0.2">
      <c r="A880" s="40"/>
      <c r="B880" s="45"/>
      <c r="C880" s="41"/>
      <c r="D880" s="41">
        <v>2</v>
      </c>
      <c r="E880" s="90">
        <f>9.75-0.1*2</f>
        <v>9.5500000000000007</v>
      </c>
      <c r="F880" s="90"/>
      <c r="G880" s="90"/>
      <c r="H880" s="89">
        <f t="shared" si="131"/>
        <v>19.100000000000001</v>
      </c>
      <c r="I880" s="90"/>
      <c r="J880" s="90"/>
      <c r="K880" s="163"/>
      <c r="L880" s="163"/>
      <c r="M880" s="158"/>
      <c r="O880" s="82">
        <f t="shared" si="126"/>
        <v>0</v>
      </c>
    </row>
    <row r="881" spans="1:15" ht="16.5" customHeight="1" x14ac:dyDescent="0.2">
      <c r="A881" s="40"/>
      <c r="B881" s="45"/>
      <c r="C881" s="41"/>
      <c r="D881" s="41">
        <v>2</v>
      </c>
      <c r="E881" s="90">
        <v>0.35</v>
      </c>
      <c r="F881" s="90"/>
      <c r="G881" s="90"/>
      <c r="H881" s="89">
        <f t="shared" si="131"/>
        <v>0.7</v>
      </c>
      <c r="I881" s="90"/>
      <c r="J881" s="90"/>
      <c r="K881" s="163"/>
      <c r="L881" s="163"/>
      <c r="M881" s="158"/>
      <c r="O881" s="82">
        <f t="shared" si="126"/>
        <v>0</v>
      </c>
    </row>
    <row r="882" spans="1:15" ht="16.5" customHeight="1" x14ac:dyDescent="0.2">
      <c r="A882" s="40"/>
      <c r="B882" s="45"/>
      <c r="C882" s="41"/>
      <c r="D882" s="41"/>
      <c r="E882" s="90"/>
      <c r="F882" s="90"/>
      <c r="G882" s="90"/>
      <c r="H882" s="89">
        <f t="shared" si="131"/>
        <v>0</v>
      </c>
      <c r="I882" s="90">
        <f>SUM(H879:H881)</f>
        <v>41.600000000000009</v>
      </c>
      <c r="J882" s="90"/>
      <c r="K882" s="163"/>
      <c r="L882" s="163"/>
      <c r="M882" s="158"/>
      <c r="O882" s="82">
        <f t="shared" si="126"/>
        <v>0</v>
      </c>
    </row>
    <row r="883" spans="1:15" s="5" customFormat="1" ht="16.149999999999999" customHeight="1" x14ac:dyDescent="0.2">
      <c r="A883" s="30"/>
      <c r="B883" s="98" t="s">
        <v>466</v>
      </c>
      <c r="C883" s="32"/>
      <c r="D883" s="32"/>
      <c r="E883" s="89"/>
      <c r="F883" s="89"/>
      <c r="G883" s="89"/>
      <c r="H883" s="89">
        <f t="shared" si="131"/>
        <v>0</v>
      </c>
      <c r="I883" s="89"/>
      <c r="J883" s="89"/>
      <c r="K883" s="157"/>
      <c r="L883" s="157"/>
      <c r="M883" s="158"/>
      <c r="O883" s="82">
        <f t="shared" si="126"/>
        <v>0</v>
      </c>
    </row>
    <row r="884" spans="1:15" ht="16.5" customHeight="1" x14ac:dyDescent="0.2">
      <c r="A884" s="40"/>
      <c r="B884" s="45"/>
      <c r="C884" s="41"/>
      <c r="D884" s="41">
        <v>2</v>
      </c>
      <c r="E884" s="90">
        <v>8.8000000000000007</v>
      </c>
      <c r="F884" s="90"/>
      <c r="G884" s="90"/>
      <c r="H884" s="89">
        <f t="shared" si="131"/>
        <v>17.600000000000001</v>
      </c>
      <c r="I884" s="90"/>
      <c r="J884" s="90"/>
      <c r="K884" s="163"/>
      <c r="L884" s="163"/>
      <c r="M884" s="158"/>
      <c r="O884" s="82">
        <f t="shared" si="126"/>
        <v>0</v>
      </c>
    </row>
    <row r="885" spans="1:15" ht="16.5" customHeight="1" x14ac:dyDescent="0.2">
      <c r="A885" s="40"/>
      <c r="B885" s="45"/>
      <c r="C885" s="41"/>
      <c r="D885" s="41">
        <v>2</v>
      </c>
      <c r="E885" s="90">
        <v>9.4</v>
      </c>
      <c r="F885" s="90"/>
      <c r="G885" s="90"/>
      <c r="H885" s="89">
        <f t="shared" si="131"/>
        <v>18.8</v>
      </c>
      <c r="I885" s="90"/>
      <c r="J885" s="90"/>
      <c r="K885" s="163"/>
      <c r="L885" s="163"/>
      <c r="M885" s="158"/>
      <c r="O885" s="82">
        <f t="shared" si="126"/>
        <v>0</v>
      </c>
    </row>
    <row r="886" spans="1:15" ht="16.5" customHeight="1" x14ac:dyDescent="0.2">
      <c r="A886" s="40"/>
      <c r="B886" s="45"/>
      <c r="C886" s="41"/>
      <c r="D886" s="41"/>
      <c r="E886" s="90"/>
      <c r="F886" s="90"/>
      <c r="G886" s="90"/>
      <c r="H886" s="89">
        <f t="shared" si="131"/>
        <v>0</v>
      </c>
      <c r="I886" s="90">
        <f>SUM(H884:H885)</f>
        <v>36.400000000000006</v>
      </c>
      <c r="J886" s="90"/>
      <c r="K886" s="163"/>
      <c r="L886" s="163"/>
      <c r="M886" s="158"/>
      <c r="O886" s="82">
        <f t="shared" si="126"/>
        <v>0</v>
      </c>
    </row>
    <row r="887" spans="1:15" s="5" customFormat="1" ht="16.149999999999999" customHeight="1" x14ac:dyDescent="0.2">
      <c r="A887" s="30"/>
      <c r="B887" s="98" t="s">
        <v>467</v>
      </c>
      <c r="C887" s="32"/>
      <c r="D887" s="32"/>
      <c r="E887" s="89"/>
      <c r="F887" s="89"/>
      <c r="G887" s="89"/>
      <c r="H887" s="89"/>
      <c r="I887" s="89"/>
      <c r="J887" s="89"/>
      <c r="K887" s="157"/>
      <c r="L887" s="157"/>
      <c r="M887" s="158"/>
      <c r="O887" s="82">
        <f t="shared" si="126"/>
        <v>0</v>
      </c>
    </row>
    <row r="888" spans="1:15" ht="16.5" customHeight="1" x14ac:dyDescent="0.2">
      <c r="A888" s="40"/>
      <c r="B888" s="45"/>
      <c r="C888" s="41"/>
      <c r="D888" s="32">
        <v>2</v>
      </c>
      <c r="E888" s="89">
        <v>2.4</v>
      </c>
      <c r="F888" s="89"/>
      <c r="G888" s="89"/>
      <c r="H888" s="89">
        <f t="shared" ref="H888:H890" si="132">PRODUCT(D888:G888)</f>
        <v>4.8</v>
      </c>
      <c r="I888" s="90"/>
      <c r="J888" s="90"/>
      <c r="K888" s="163"/>
      <c r="L888" s="163"/>
      <c r="M888" s="158"/>
      <c r="O888" s="82">
        <f t="shared" si="126"/>
        <v>0</v>
      </c>
    </row>
    <row r="889" spans="1:15" ht="16.5" customHeight="1" x14ac:dyDescent="0.2">
      <c r="A889" s="40"/>
      <c r="B889" s="45"/>
      <c r="C889" s="41"/>
      <c r="D889" s="32">
        <v>2</v>
      </c>
      <c r="E889" s="89">
        <v>3</v>
      </c>
      <c r="F889" s="89"/>
      <c r="G889" s="89"/>
      <c r="H889" s="89">
        <f t="shared" si="132"/>
        <v>6</v>
      </c>
      <c r="I889" s="90"/>
      <c r="J889" s="90"/>
      <c r="K889" s="163"/>
      <c r="L889" s="163"/>
      <c r="M889" s="158"/>
      <c r="O889" s="82">
        <f t="shared" si="126"/>
        <v>0</v>
      </c>
    </row>
    <row r="890" spans="1:15" ht="16.5" customHeight="1" x14ac:dyDescent="0.2">
      <c r="A890" s="40"/>
      <c r="B890" s="45"/>
      <c r="C890" s="41"/>
      <c r="D890" s="41"/>
      <c r="E890" s="90"/>
      <c r="F890" s="90"/>
      <c r="G890" s="90"/>
      <c r="H890" s="89">
        <f t="shared" si="132"/>
        <v>0</v>
      </c>
      <c r="I890" s="90">
        <f>SUM(H887:H889)</f>
        <v>10.8</v>
      </c>
      <c r="J890" s="90"/>
      <c r="K890" s="163"/>
      <c r="L890" s="163"/>
      <c r="M890" s="158"/>
      <c r="O890" s="82">
        <f t="shared" si="126"/>
        <v>0</v>
      </c>
    </row>
    <row r="891" spans="1:15" ht="18" customHeight="1" x14ac:dyDescent="0.2">
      <c r="A891" s="40" t="s">
        <v>193</v>
      </c>
      <c r="B891" s="46" t="s">
        <v>271</v>
      </c>
      <c r="C891" s="41" t="s">
        <v>4</v>
      </c>
      <c r="D891" s="41"/>
      <c r="E891" s="90"/>
      <c r="F891" s="90"/>
      <c r="G891" s="90"/>
      <c r="H891" s="90"/>
      <c r="I891" s="90"/>
      <c r="J891" s="90">
        <f>J848</f>
        <v>754.12</v>
      </c>
      <c r="K891" s="164">
        <f>K848</f>
        <v>755</v>
      </c>
      <c r="L891" s="163">
        <v>50</v>
      </c>
      <c r="M891" s="158">
        <f t="shared" si="128"/>
        <v>37750</v>
      </c>
      <c r="N891" s="43"/>
      <c r="O891" s="82">
        <f t="shared" si="126"/>
        <v>0.87999999999999545</v>
      </c>
    </row>
    <row r="892" spans="1:15" ht="18" customHeight="1" x14ac:dyDescent="0.2">
      <c r="A892" s="40" t="s">
        <v>194</v>
      </c>
      <c r="B892" s="46" t="s">
        <v>9</v>
      </c>
      <c r="C892" s="41" t="s">
        <v>1</v>
      </c>
      <c r="D892" s="41"/>
      <c r="E892" s="90"/>
      <c r="F892" s="90"/>
      <c r="G892" s="90"/>
      <c r="H892" s="90"/>
      <c r="I892" s="90"/>
      <c r="J892" s="90">
        <f>J867</f>
        <v>274.8</v>
      </c>
      <c r="K892" s="164">
        <f>K867</f>
        <v>280</v>
      </c>
      <c r="L892" s="163">
        <v>30</v>
      </c>
      <c r="M892" s="158">
        <f t="shared" si="128"/>
        <v>8400</v>
      </c>
      <c r="N892" s="43"/>
      <c r="O892" s="82">
        <f t="shared" si="126"/>
        <v>5.1999999999999886</v>
      </c>
    </row>
    <row r="893" spans="1:15" ht="18" customHeight="1" x14ac:dyDescent="0.2">
      <c r="A893" s="40" t="s">
        <v>338</v>
      </c>
      <c r="B893" s="46" t="s">
        <v>352</v>
      </c>
      <c r="C893" s="41" t="s">
        <v>4</v>
      </c>
      <c r="D893" s="41"/>
      <c r="E893" s="90"/>
      <c r="F893" s="90"/>
      <c r="G893" s="90"/>
      <c r="H893" s="90"/>
      <c r="I893" s="90"/>
      <c r="J893" s="90"/>
      <c r="K893" s="163"/>
      <c r="L893" s="163">
        <v>70</v>
      </c>
      <c r="M893" s="158">
        <f t="shared" si="128"/>
        <v>0</v>
      </c>
      <c r="N893" s="43"/>
      <c r="O893" s="82">
        <f t="shared" si="126"/>
        <v>0</v>
      </c>
    </row>
    <row r="894" spans="1:15" ht="18" customHeight="1" x14ac:dyDescent="0.2">
      <c r="A894" s="40" t="s">
        <v>196</v>
      </c>
      <c r="B894" s="46" t="s">
        <v>314</v>
      </c>
      <c r="C894" s="32" t="s">
        <v>76</v>
      </c>
      <c r="D894" s="41"/>
      <c r="E894" s="90"/>
      <c r="F894" s="90"/>
      <c r="G894" s="90"/>
      <c r="H894" s="90"/>
      <c r="I894" s="90"/>
      <c r="J894" s="90">
        <f>SUM(I897:I909)</f>
        <v>12</v>
      </c>
      <c r="K894" s="163">
        <v>12</v>
      </c>
      <c r="L894" s="163">
        <v>400</v>
      </c>
      <c r="M894" s="158">
        <f t="shared" si="128"/>
        <v>4800</v>
      </c>
      <c r="N894" s="43"/>
      <c r="O894" s="82">
        <f t="shared" si="126"/>
        <v>0</v>
      </c>
    </row>
    <row r="895" spans="1:15" s="5" customFormat="1" ht="16.149999999999999" customHeight="1" x14ac:dyDescent="0.2">
      <c r="A895" s="30"/>
      <c r="B895" s="98" t="s">
        <v>464</v>
      </c>
      <c r="C895" s="32"/>
      <c r="D895" s="32"/>
      <c r="E895" s="89"/>
      <c r="F895" s="89"/>
      <c r="G895" s="89"/>
      <c r="H895" s="89"/>
      <c r="I895" s="89"/>
      <c r="K895" s="157"/>
      <c r="L895" s="157"/>
      <c r="M895" s="158"/>
      <c r="O895" s="82">
        <f t="shared" si="126"/>
        <v>0</v>
      </c>
    </row>
    <row r="896" spans="1:15" ht="16.5" customHeight="1" x14ac:dyDescent="0.2">
      <c r="A896" s="40"/>
      <c r="B896" s="45"/>
      <c r="C896" s="41"/>
      <c r="D896" s="41">
        <v>5</v>
      </c>
      <c r="E896" s="90"/>
      <c r="F896" s="90"/>
      <c r="G896" s="90"/>
      <c r="H896" s="89">
        <f t="shared" ref="H896:H908" si="133">PRODUCT(D896:G896)</f>
        <v>5</v>
      </c>
      <c r="I896" s="80"/>
      <c r="J896" s="90"/>
      <c r="K896" s="163"/>
      <c r="L896" s="163"/>
      <c r="M896" s="158"/>
      <c r="O896" s="82">
        <f t="shared" si="126"/>
        <v>0</v>
      </c>
    </row>
    <row r="897" spans="1:15" ht="16.5" customHeight="1" x14ac:dyDescent="0.2">
      <c r="A897" s="40"/>
      <c r="B897" s="45"/>
      <c r="C897" s="41"/>
      <c r="D897" s="41"/>
      <c r="E897" s="90"/>
      <c r="F897" s="90"/>
      <c r="G897" s="90"/>
      <c r="H897" s="89"/>
      <c r="I897" s="90">
        <f>SUM(H896:H896)</f>
        <v>5</v>
      </c>
      <c r="J897" s="90"/>
      <c r="K897" s="163"/>
      <c r="L897" s="163"/>
      <c r="M897" s="158"/>
      <c r="O897" s="82">
        <f t="shared" si="126"/>
        <v>0</v>
      </c>
    </row>
    <row r="898" spans="1:15" s="5" customFormat="1" ht="16.149999999999999" customHeight="1" x14ac:dyDescent="0.2">
      <c r="A898" s="30"/>
      <c r="B898" s="98" t="s">
        <v>465</v>
      </c>
      <c r="C898" s="32"/>
      <c r="D898" s="32"/>
      <c r="E898" s="89"/>
      <c r="F898" s="89"/>
      <c r="G898" s="89"/>
      <c r="H898" s="89">
        <f t="shared" si="133"/>
        <v>0</v>
      </c>
      <c r="I898" s="89"/>
      <c r="J898" s="89"/>
      <c r="K898" s="157"/>
      <c r="L898" s="157"/>
      <c r="M898" s="158"/>
      <c r="O898" s="82">
        <f t="shared" si="126"/>
        <v>0</v>
      </c>
    </row>
    <row r="899" spans="1:15" ht="16.5" customHeight="1" x14ac:dyDescent="0.2">
      <c r="A899" s="40"/>
      <c r="B899" s="45"/>
      <c r="C899" s="41"/>
      <c r="D899" s="41">
        <v>2</v>
      </c>
      <c r="E899" s="90"/>
      <c r="F899" s="90"/>
      <c r="G899" s="90"/>
      <c r="H899" s="89">
        <f t="shared" si="133"/>
        <v>2</v>
      </c>
      <c r="I899" s="90"/>
      <c r="J899" s="90"/>
      <c r="K899" s="163"/>
      <c r="L899" s="163"/>
      <c r="M899" s="158"/>
      <c r="O899" s="82">
        <f t="shared" si="126"/>
        <v>0</v>
      </c>
    </row>
    <row r="900" spans="1:15" ht="16.5" customHeight="1" x14ac:dyDescent="0.2">
      <c r="A900" s="40"/>
      <c r="B900" s="45"/>
      <c r="C900" s="41"/>
      <c r="D900" s="41"/>
      <c r="E900" s="90"/>
      <c r="F900" s="90"/>
      <c r="G900" s="90"/>
      <c r="H900" s="89">
        <f t="shared" si="133"/>
        <v>0</v>
      </c>
      <c r="I900" s="90">
        <f>SUM(H899:H900)</f>
        <v>2</v>
      </c>
      <c r="J900" s="90"/>
      <c r="K900" s="163"/>
      <c r="L900" s="163"/>
      <c r="M900" s="158"/>
      <c r="O900" s="82">
        <f t="shared" si="126"/>
        <v>0</v>
      </c>
    </row>
    <row r="901" spans="1:15" s="5" customFormat="1" ht="16.149999999999999" customHeight="1" x14ac:dyDescent="0.2">
      <c r="A901" s="30"/>
      <c r="B901" s="98" t="s">
        <v>530</v>
      </c>
      <c r="C901" s="32"/>
      <c r="D901" s="32"/>
      <c r="E901" s="89"/>
      <c r="F901" s="89"/>
      <c r="G901" s="89"/>
      <c r="H901" s="89">
        <f t="shared" si="133"/>
        <v>0</v>
      </c>
      <c r="I901" s="89"/>
      <c r="J901" s="89"/>
      <c r="K901" s="157"/>
      <c r="L901" s="157"/>
      <c r="M901" s="158"/>
      <c r="O901" s="82">
        <f t="shared" si="126"/>
        <v>0</v>
      </c>
    </row>
    <row r="902" spans="1:15" ht="16.5" customHeight="1" x14ac:dyDescent="0.2">
      <c r="A902" s="40"/>
      <c r="B902" s="45"/>
      <c r="C902" s="41"/>
      <c r="D902" s="41">
        <v>2</v>
      </c>
      <c r="E902" s="90"/>
      <c r="F902" s="90"/>
      <c r="G902" s="90"/>
      <c r="H902" s="89">
        <f t="shared" ref="H902:H903" si="134">PRODUCT(D902:G902)</f>
        <v>2</v>
      </c>
      <c r="I902" s="90"/>
      <c r="J902" s="90"/>
      <c r="K902" s="163"/>
      <c r="L902" s="163"/>
      <c r="M902" s="158"/>
      <c r="O902" s="82">
        <f t="shared" ref="O902:O965" si="135">K902-J902</f>
        <v>0</v>
      </c>
    </row>
    <row r="903" spans="1:15" ht="16.5" customHeight="1" x14ac:dyDescent="0.2">
      <c r="A903" s="40"/>
      <c r="B903" s="45"/>
      <c r="C903" s="41"/>
      <c r="D903" s="41"/>
      <c r="E903" s="90"/>
      <c r="F903" s="90"/>
      <c r="G903" s="90"/>
      <c r="H903" s="89">
        <f t="shared" si="134"/>
        <v>0</v>
      </c>
      <c r="I903" s="90">
        <f>SUM(H902:H903)</f>
        <v>2</v>
      </c>
      <c r="J903" s="90"/>
      <c r="K903" s="163"/>
      <c r="L903" s="163"/>
      <c r="M903" s="158"/>
      <c r="O903" s="82">
        <f t="shared" si="135"/>
        <v>0</v>
      </c>
    </row>
    <row r="904" spans="1:15" s="5" customFormat="1" ht="16.149999999999999" customHeight="1" x14ac:dyDescent="0.2">
      <c r="A904" s="30"/>
      <c r="B904" s="98" t="s">
        <v>466</v>
      </c>
      <c r="C904" s="32"/>
      <c r="D904" s="32"/>
      <c r="E904" s="89"/>
      <c r="F904" s="89"/>
      <c r="G904" s="89"/>
      <c r="H904" s="89">
        <f t="shared" si="133"/>
        <v>0</v>
      </c>
      <c r="I904" s="89"/>
      <c r="J904" s="89"/>
      <c r="K904" s="157"/>
      <c r="L904" s="157"/>
      <c r="M904" s="158"/>
      <c r="O904" s="82">
        <f t="shared" si="135"/>
        <v>0</v>
      </c>
    </row>
    <row r="905" spans="1:15" ht="16.5" customHeight="1" x14ac:dyDescent="0.2">
      <c r="A905" s="40"/>
      <c r="B905" s="45"/>
      <c r="C905" s="41"/>
      <c r="D905" s="41">
        <v>2</v>
      </c>
      <c r="E905" s="90"/>
      <c r="F905" s="90"/>
      <c r="G905" s="90"/>
      <c r="H905" s="89">
        <f t="shared" si="133"/>
        <v>2</v>
      </c>
      <c r="I905" s="90"/>
      <c r="J905" s="90"/>
      <c r="K905" s="163"/>
      <c r="L905" s="163"/>
      <c r="M905" s="158"/>
      <c r="O905" s="82">
        <f t="shared" si="135"/>
        <v>0</v>
      </c>
    </row>
    <row r="906" spans="1:15" ht="16.5" customHeight="1" x14ac:dyDescent="0.2">
      <c r="A906" s="40"/>
      <c r="B906" s="45"/>
      <c r="C906" s="41"/>
      <c r="D906" s="41"/>
      <c r="E906" s="90"/>
      <c r="F906" s="90"/>
      <c r="G906" s="90"/>
      <c r="H906" s="89">
        <f t="shared" si="133"/>
        <v>0</v>
      </c>
      <c r="I906" s="90">
        <f>SUM(H905:H905)</f>
        <v>2</v>
      </c>
      <c r="J906" s="90"/>
      <c r="K906" s="163"/>
      <c r="L906" s="163"/>
      <c r="M906" s="158"/>
      <c r="O906" s="82">
        <f t="shared" si="135"/>
        <v>0</v>
      </c>
    </row>
    <row r="907" spans="1:15" s="5" customFormat="1" ht="16.149999999999999" customHeight="1" x14ac:dyDescent="0.2">
      <c r="A907" s="30"/>
      <c r="B907" s="98" t="s">
        <v>467</v>
      </c>
      <c r="C907" s="32"/>
      <c r="D907" s="32"/>
      <c r="E907" s="89"/>
      <c r="F907" s="89"/>
      <c r="G907" s="89"/>
      <c r="H907" s="89">
        <f t="shared" si="133"/>
        <v>0</v>
      </c>
      <c r="I907" s="90">
        <f t="shared" ref="I907:I908" si="136">SUM(H906:H906)</f>
        <v>0</v>
      </c>
      <c r="J907" s="89"/>
      <c r="K907" s="157"/>
      <c r="L907" s="157"/>
      <c r="M907" s="158"/>
      <c r="O907" s="82">
        <f t="shared" si="135"/>
        <v>0</v>
      </c>
    </row>
    <row r="908" spans="1:15" ht="15.95" customHeight="1" x14ac:dyDescent="0.2">
      <c r="A908" s="40"/>
      <c r="B908" s="45"/>
      <c r="C908" s="41"/>
      <c r="D908" s="41">
        <v>1</v>
      </c>
      <c r="E908" s="90"/>
      <c r="F908" s="90"/>
      <c r="G908" s="90"/>
      <c r="H908" s="89">
        <f t="shared" si="133"/>
        <v>1</v>
      </c>
      <c r="I908" s="90">
        <f t="shared" si="136"/>
        <v>0</v>
      </c>
      <c r="J908" s="90"/>
      <c r="K908" s="163"/>
      <c r="L908" s="163"/>
      <c r="M908" s="158"/>
      <c r="N908" s="43"/>
      <c r="O908" s="82">
        <f t="shared" si="135"/>
        <v>0</v>
      </c>
    </row>
    <row r="909" spans="1:15" ht="15.95" customHeight="1" x14ac:dyDescent="0.2">
      <c r="A909" s="40"/>
      <c r="B909" s="45"/>
      <c r="C909" s="41"/>
      <c r="D909" s="41"/>
      <c r="E909" s="90"/>
      <c r="F909" s="90"/>
      <c r="G909" s="90"/>
      <c r="H909" s="89"/>
      <c r="I909" s="90">
        <f>SUM(H908:H909)</f>
        <v>1</v>
      </c>
      <c r="J909" s="90"/>
      <c r="K909" s="163"/>
      <c r="L909" s="163"/>
      <c r="M909" s="158"/>
      <c r="N909" s="43"/>
      <c r="O909" s="82">
        <f t="shared" si="135"/>
        <v>0</v>
      </c>
    </row>
    <row r="910" spans="1:15" s="5" customFormat="1" ht="18" customHeight="1" x14ac:dyDescent="0.2">
      <c r="A910" s="250" t="s">
        <v>107</v>
      </c>
      <c r="B910" s="251"/>
      <c r="C910" s="251"/>
      <c r="D910" s="251"/>
      <c r="E910" s="251"/>
      <c r="F910" s="251"/>
      <c r="G910" s="251"/>
      <c r="H910" s="251"/>
      <c r="I910" s="251"/>
      <c r="J910" s="251"/>
      <c r="K910" s="251"/>
      <c r="L910" s="252"/>
      <c r="M910" s="159">
        <f>SUM(M847:M894)</f>
        <v>171625</v>
      </c>
      <c r="O910" s="82">
        <f t="shared" si="135"/>
        <v>0</v>
      </c>
    </row>
    <row r="911" spans="1:15" ht="15.95" customHeight="1" x14ac:dyDescent="0.2">
      <c r="A911" s="24"/>
      <c r="B911" s="25" t="s">
        <v>272</v>
      </c>
      <c r="C911" s="26"/>
      <c r="D911" s="26"/>
      <c r="E911" s="88"/>
      <c r="F911" s="88"/>
      <c r="G911" s="88"/>
      <c r="H911" s="88"/>
      <c r="I911" s="88"/>
      <c r="J911" s="88"/>
      <c r="K911" s="155"/>
      <c r="L911" s="155"/>
      <c r="M911" s="158"/>
      <c r="O911" s="82">
        <f t="shared" si="135"/>
        <v>0</v>
      </c>
    </row>
    <row r="912" spans="1:15" ht="15.95" customHeight="1" x14ac:dyDescent="0.2">
      <c r="A912" s="40" t="s">
        <v>197</v>
      </c>
      <c r="B912" s="46" t="s">
        <v>551</v>
      </c>
      <c r="C912" s="41" t="s">
        <v>4</v>
      </c>
      <c r="D912" s="41"/>
      <c r="E912" s="90"/>
      <c r="F912" s="90"/>
      <c r="G912" s="90"/>
      <c r="H912" s="90"/>
      <c r="I912" s="90"/>
      <c r="J912" s="90">
        <f>SUM(I915:I934)</f>
        <v>964.505</v>
      </c>
      <c r="K912" s="163">
        <v>970</v>
      </c>
      <c r="L912" s="163">
        <v>120</v>
      </c>
      <c r="M912" s="158">
        <f t="shared" ref="M912:M1177" si="137">+L912*K912</f>
        <v>116400</v>
      </c>
      <c r="O912" s="82">
        <f t="shared" si="135"/>
        <v>5.4950000000000045</v>
      </c>
    </row>
    <row r="913" spans="1:15" s="5" customFormat="1" ht="16.149999999999999" customHeight="1" x14ac:dyDescent="0.2">
      <c r="A913" s="30"/>
      <c r="B913" s="98" t="s">
        <v>464</v>
      </c>
      <c r="C913" s="32"/>
      <c r="D913" s="32"/>
      <c r="E913" s="89"/>
      <c r="F913" s="89"/>
      <c r="G913" s="89"/>
      <c r="H913" s="89"/>
      <c r="I913" s="89"/>
      <c r="K913" s="157"/>
      <c r="L913" s="157"/>
      <c r="M913" s="158"/>
      <c r="O913" s="82">
        <f t="shared" si="135"/>
        <v>0</v>
      </c>
    </row>
    <row r="914" spans="1:15" s="5" customFormat="1" ht="16.149999999999999" customHeight="1" x14ac:dyDescent="0.2">
      <c r="A914" s="30"/>
      <c r="B914" s="105" t="s">
        <v>474</v>
      </c>
      <c r="C914" s="32"/>
      <c r="D914" s="32"/>
      <c r="E914" s="89"/>
      <c r="F914" s="89"/>
      <c r="G914" s="89"/>
      <c r="I914" s="89"/>
      <c r="K914" s="157"/>
      <c r="L914" s="157"/>
      <c r="M914" s="158"/>
      <c r="O914" s="82">
        <f t="shared" si="135"/>
        <v>0</v>
      </c>
    </row>
    <row r="915" spans="1:15" s="5" customFormat="1" ht="16.149999999999999" customHeight="1" x14ac:dyDescent="0.2">
      <c r="A915" s="30"/>
      <c r="B915" s="44" t="s">
        <v>494</v>
      </c>
      <c r="C915" s="41"/>
      <c r="D915" s="41">
        <v>5</v>
      </c>
      <c r="E915" s="109">
        <v>6.6</v>
      </c>
      <c r="F915" s="109">
        <v>8.6300000000000008</v>
      </c>
      <c r="G915" s="109"/>
      <c r="H915" s="89">
        <f>PRODUCT(D915:G915)</f>
        <v>284.79000000000002</v>
      </c>
      <c r="I915" s="89"/>
      <c r="K915" s="157"/>
      <c r="L915" s="157"/>
      <c r="M915" s="158"/>
      <c r="O915" s="82">
        <f t="shared" si="135"/>
        <v>0</v>
      </c>
    </row>
    <row r="916" spans="1:15" s="5" customFormat="1" ht="16.149999999999999" customHeight="1" x14ac:dyDescent="0.2">
      <c r="A916" s="30"/>
      <c r="B916" s="151" t="s">
        <v>552</v>
      </c>
      <c r="C916" s="41"/>
      <c r="D916" s="41">
        <v>5</v>
      </c>
      <c r="E916" s="109">
        <v>1.1399999999999999</v>
      </c>
      <c r="F916" s="109">
        <v>0.2</v>
      </c>
      <c r="G916" s="109"/>
      <c r="H916" s="89">
        <f t="shared" ref="H916" si="138">PRODUCT(D916:G916)</f>
        <v>1.1399999999999999</v>
      </c>
      <c r="I916" s="89"/>
      <c r="K916" s="157"/>
      <c r="L916" s="157"/>
      <c r="M916" s="158"/>
      <c r="O916" s="82">
        <f t="shared" si="135"/>
        <v>0</v>
      </c>
    </row>
    <row r="917" spans="1:15" s="5" customFormat="1" ht="16.149999999999999" customHeight="1" x14ac:dyDescent="0.2">
      <c r="A917" s="30"/>
      <c r="B917" s="44" t="s">
        <v>495</v>
      </c>
      <c r="C917" s="41"/>
      <c r="D917" s="41">
        <v>2</v>
      </c>
      <c r="E917" s="109">
        <v>4</v>
      </c>
      <c r="F917" s="109">
        <v>3.4</v>
      </c>
      <c r="G917" s="109"/>
      <c r="H917" s="89">
        <f>PRODUCT(D917:G917)</f>
        <v>27.2</v>
      </c>
      <c r="I917" s="89"/>
      <c r="K917" s="157"/>
      <c r="L917" s="157"/>
      <c r="M917" s="158"/>
      <c r="O917" s="82">
        <f t="shared" si="135"/>
        <v>0</v>
      </c>
    </row>
    <row r="918" spans="1:15" s="5" customFormat="1" ht="16.149999999999999" customHeight="1" x14ac:dyDescent="0.2">
      <c r="A918" s="30"/>
      <c r="B918" s="44" t="s">
        <v>497</v>
      </c>
      <c r="C918" s="41"/>
      <c r="D918" s="41">
        <v>1</v>
      </c>
      <c r="E918" s="109">
        <v>34.200000000000003</v>
      </c>
      <c r="F918" s="109">
        <v>2.4</v>
      </c>
      <c r="G918" s="109"/>
      <c r="H918" s="89">
        <f>PRODUCT(D918:G918)</f>
        <v>82.08</v>
      </c>
      <c r="I918" s="89"/>
      <c r="K918" s="157"/>
      <c r="L918" s="157"/>
      <c r="M918" s="158"/>
      <c r="O918" s="82">
        <f t="shared" si="135"/>
        <v>0</v>
      </c>
    </row>
    <row r="919" spans="1:15" s="5" customFormat="1" ht="16.149999999999999" customHeight="1" x14ac:dyDescent="0.2">
      <c r="A919" s="30"/>
      <c r="B919" s="44" t="s">
        <v>547</v>
      </c>
      <c r="C919" s="41"/>
      <c r="D919" s="41">
        <v>1</v>
      </c>
      <c r="E919" s="109">
        <v>11.35</v>
      </c>
      <c r="F919" s="109">
        <v>9.5</v>
      </c>
      <c r="G919" s="109"/>
      <c r="H919" s="89">
        <f>PRODUCT(D919:G919)</f>
        <v>107.825</v>
      </c>
      <c r="I919" s="89"/>
      <c r="K919" s="157"/>
      <c r="L919" s="157"/>
      <c r="M919" s="158"/>
      <c r="O919" s="82">
        <f t="shared" si="135"/>
        <v>0</v>
      </c>
    </row>
    <row r="920" spans="1:15" ht="15.95" customHeight="1" x14ac:dyDescent="0.2">
      <c r="A920" s="30"/>
      <c r="B920" s="46"/>
      <c r="C920" s="41"/>
      <c r="D920" s="41"/>
      <c r="E920" s="90"/>
      <c r="F920" s="90"/>
      <c r="G920" s="90"/>
      <c r="H920" s="89"/>
      <c r="I920" s="89"/>
      <c r="J920" s="108"/>
      <c r="K920" s="157"/>
      <c r="L920" s="157"/>
      <c r="M920" s="158"/>
      <c r="O920" s="82">
        <f t="shared" si="135"/>
        <v>0</v>
      </c>
    </row>
    <row r="921" spans="1:15" ht="15.95" customHeight="1" x14ac:dyDescent="0.2">
      <c r="A921" s="30"/>
      <c r="B921" s="105" t="s">
        <v>475</v>
      </c>
      <c r="C921" s="41"/>
      <c r="D921" s="41"/>
      <c r="E921" s="90"/>
      <c r="F921" s="90"/>
      <c r="G921" s="90"/>
      <c r="H921" s="89">
        <f t="shared" ref="H921:I921" si="139">PRODUCT(D921:G921)</f>
        <v>0</v>
      </c>
      <c r="I921" s="89">
        <f t="shared" si="139"/>
        <v>0</v>
      </c>
      <c r="J921" s="90"/>
      <c r="K921" s="157"/>
      <c r="L921" s="157"/>
      <c r="M921" s="158"/>
      <c r="O921" s="82">
        <f t="shared" si="135"/>
        <v>0</v>
      </c>
    </row>
    <row r="922" spans="1:15" s="5" customFormat="1" ht="16.149999999999999" customHeight="1" x14ac:dyDescent="0.2">
      <c r="A922" s="30"/>
      <c r="B922" s="44" t="s">
        <v>494</v>
      </c>
      <c r="C922" s="41"/>
      <c r="D922" s="41">
        <v>5</v>
      </c>
      <c r="E922" s="109">
        <v>6.6</v>
      </c>
      <c r="F922" s="109">
        <v>8.6300000000000008</v>
      </c>
      <c r="G922" s="109"/>
      <c r="H922" s="89">
        <f>PRODUCT(D922:G922)</f>
        <v>284.79000000000002</v>
      </c>
      <c r="I922" s="89"/>
      <c r="K922" s="157"/>
      <c r="L922" s="157"/>
      <c r="M922" s="158"/>
      <c r="O922" s="82">
        <f t="shared" si="135"/>
        <v>0</v>
      </c>
    </row>
    <row r="923" spans="1:15" s="5" customFormat="1" ht="16.149999999999999" customHeight="1" x14ac:dyDescent="0.2">
      <c r="A923" s="30"/>
      <c r="B923" s="151" t="s">
        <v>552</v>
      </c>
      <c r="C923" s="41"/>
      <c r="D923" s="41">
        <v>5</v>
      </c>
      <c r="E923" s="109">
        <v>1.1399999999999999</v>
      </c>
      <c r="F923" s="109">
        <v>0.2</v>
      </c>
      <c r="G923" s="109"/>
      <c r="H923" s="89">
        <f t="shared" ref="H923" si="140">PRODUCT(D923:G923)</f>
        <v>1.1399999999999999</v>
      </c>
      <c r="I923" s="89"/>
      <c r="K923" s="157"/>
      <c r="L923" s="157"/>
      <c r="M923" s="158"/>
      <c r="O923" s="82">
        <f t="shared" si="135"/>
        <v>0</v>
      </c>
    </row>
    <row r="924" spans="1:15" s="5" customFormat="1" ht="16.149999999999999" customHeight="1" x14ac:dyDescent="0.2">
      <c r="A924" s="30"/>
      <c r="B924" s="44" t="s">
        <v>501</v>
      </c>
      <c r="C924" s="41"/>
      <c r="D924" s="41">
        <v>2</v>
      </c>
      <c r="E924" s="109">
        <v>1.6</v>
      </c>
      <c r="F924" s="109">
        <v>3.4</v>
      </c>
      <c r="G924" s="109"/>
      <c r="H924" s="89">
        <f>PRODUCT(D924:G924)</f>
        <v>10.88</v>
      </c>
      <c r="I924" s="89"/>
      <c r="K924" s="157"/>
      <c r="L924" s="157"/>
      <c r="M924" s="158"/>
      <c r="O924" s="82">
        <f t="shared" si="135"/>
        <v>0</v>
      </c>
    </row>
    <row r="925" spans="1:15" s="5" customFormat="1" ht="16.149999999999999" customHeight="1" x14ac:dyDescent="0.2">
      <c r="A925" s="30"/>
      <c r="B925" s="44" t="s">
        <v>497</v>
      </c>
      <c r="C925" s="41"/>
      <c r="D925" s="41">
        <v>1</v>
      </c>
      <c r="E925" s="109">
        <v>34.200000000000003</v>
      </c>
      <c r="F925" s="109">
        <v>2.4</v>
      </c>
      <c r="G925" s="109"/>
      <c r="H925" s="89">
        <f t="shared" ref="H925" si="141">PRODUCT(D925:G925)</f>
        <v>82.08</v>
      </c>
      <c r="I925" s="89"/>
      <c r="K925" s="157"/>
      <c r="L925" s="157"/>
      <c r="M925" s="158"/>
      <c r="O925" s="82">
        <f t="shared" si="135"/>
        <v>0</v>
      </c>
    </row>
    <row r="926" spans="1:15" ht="15.95" customHeight="1" x14ac:dyDescent="0.2">
      <c r="A926" s="30"/>
      <c r="B926" s="46"/>
      <c r="C926" s="41"/>
      <c r="D926" s="41"/>
      <c r="E926" s="90"/>
      <c r="F926" s="90"/>
      <c r="G926" s="90"/>
      <c r="H926" s="89"/>
      <c r="I926" s="89">
        <f>SUM(H914:H925)</f>
        <v>881.92500000000007</v>
      </c>
      <c r="J926" s="108"/>
      <c r="K926" s="157"/>
      <c r="L926" s="157"/>
      <c r="M926" s="158"/>
      <c r="O926" s="82">
        <f t="shared" si="135"/>
        <v>0</v>
      </c>
    </row>
    <row r="927" spans="1:15" s="5" customFormat="1" ht="16.149999999999999" customHeight="1" x14ac:dyDescent="0.2">
      <c r="A927" s="30"/>
      <c r="B927" s="98" t="s">
        <v>466</v>
      </c>
      <c r="C927" s="32"/>
      <c r="D927" s="32"/>
      <c r="E927" s="89"/>
      <c r="F927" s="89"/>
      <c r="G927" s="89"/>
      <c r="H927" s="89">
        <f t="shared" ref="H927:H929" si="142">PRODUCT(D927:G927)</f>
        <v>0</v>
      </c>
      <c r="I927" s="89"/>
      <c r="J927" s="89"/>
      <c r="K927" s="157"/>
      <c r="L927" s="157"/>
      <c r="M927" s="158"/>
      <c r="O927" s="82">
        <f t="shared" si="135"/>
        <v>0</v>
      </c>
    </row>
    <row r="928" spans="1:15" ht="15.95" customHeight="1" x14ac:dyDescent="0.2">
      <c r="A928" s="30"/>
      <c r="B928" s="46"/>
      <c r="C928" s="41"/>
      <c r="D928" s="41">
        <v>4</v>
      </c>
      <c r="E928" s="90">
        <v>4.5999999999999996</v>
      </c>
      <c r="F928" s="90">
        <v>4.0999999999999996</v>
      </c>
      <c r="G928" s="109"/>
      <c r="H928" s="89">
        <f t="shared" si="142"/>
        <v>75.439999999999984</v>
      </c>
      <c r="I928" s="90"/>
      <c r="J928" s="90"/>
      <c r="K928" s="157"/>
      <c r="L928" s="157"/>
      <c r="M928" s="158"/>
      <c r="O928" s="82">
        <f t="shared" si="135"/>
        <v>0</v>
      </c>
    </row>
    <row r="929" spans="1:15" ht="15.95" customHeight="1" x14ac:dyDescent="0.2">
      <c r="A929" s="30"/>
      <c r="B929" s="46"/>
      <c r="C929" s="41"/>
      <c r="D929" s="41">
        <v>4</v>
      </c>
      <c r="E929" s="90">
        <v>1.2</v>
      </c>
      <c r="F929" s="90">
        <v>0.2</v>
      </c>
      <c r="G929" s="109"/>
      <c r="H929" s="89">
        <f t="shared" si="142"/>
        <v>0.96</v>
      </c>
      <c r="I929" s="90"/>
      <c r="J929" s="90"/>
      <c r="K929" s="157"/>
      <c r="L929" s="157"/>
      <c r="M929" s="158"/>
      <c r="O929" s="82">
        <f t="shared" si="135"/>
        <v>0</v>
      </c>
    </row>
    <row r="930" spans="1:15" ht="15.95" customHeight="1" x14ac:dyDescent="0.2">
      <c r="A930" s="30"/>
      <c r="B930" s="46"/>
      <c r="C930" s="41"/>
      <c r="D930" s="41"/>
      <c r="E930" s="90"/>
      <c r="F930" s="90"/>
      <c r="G930" s="90"/>
      <c r="H930" s="89"/>
      <c r="I930" s="90">
        <f>SUM(H928:H930)</f>
        <v>76.399999999999977</v>
      </c>
      <c r="J930" s="90"/>
      <c r="K930" s="157"/>
      <c r="L930" s="157"/>
      <c r="M930" s="158"/>
      <c r="O930" s="82">
        <f t="shared" si="135"/>
        <v>0</v>
      </c>
    </row>
    <row r="931" spans="1:15" s="5" customFormat="1" ht="16.149999999999999" customHeight="1" x14ac:dyDescent="0.2">
      <c r="A931" s="30"/>
      <c r="B931" s="98" t="s">
        <v>467</v>
      </c>
      <c r="C931" s="32"/>
      <c r="D931" s="32"/>
      <c r="E931" s="89"/>
      <c r="F931" s="89"/>
      <c r="G931" s="89"/>
      <c r="H931" s="89">
        <f t="shared" ref="H931:H933" si="143">PRODUCT(D931:G931)</f>
        <v>0</v>
      </c>
      <c r="I931" s="89"/>
      <c r="J931" s="89"/>
      <c r="K931" s="157"/>
      <c r="L931" s="157"/>
      <c r="M931" s="158"/>
      <c r="O931" s="82">
        <f t="shared" si="135"/>
        <v>0</v>
      </c>
    </row>
    <row r="932" spans="1:15" ht="15.95" customHeight="1" x14ac:dyDescent="0.2">
      <c r="A932" s="30"/>
      <c r="B932" s="46"/>
      <c r="C932" s="41"/>
      <c r="D932" s="41">
        <v>1</v>
      </c>
      <c r="E932" s="90">
        <v>2</v>
      </c>
      <c r="F932" s="90">
        <v>3</v>
      </c>
      <c r="G932" s="109"/>
      <c r="H932" s="89">
        <f t="shared" si="143"/>
        <v>6</v>
      </c>
      <c r="I932" s="90"/>
      <c r="J932" s="90"/>
      <c r="K932" s="157"/>
      <c r="L932" s="157"/>
      <c r="M932" s="158"/>
      <c r="O932" s="82">
        <f t="shared" si="135"/>
        <v>0</v>
      </c>
    </row>
    <row r="933" spans="1:15" ht="15.95" customHeight="1" x14ac:dyDescent="0.2">
      <c r="A933" s="30"/>
      <c r="B933" s="46"/>
      <c r="C933" s="41"/>
      <c r="D933" s="41">
        <v>1</v>
      </c>
      <c r="E933" s="90">
        <v>0.9</v>
      </c>
      <c r="F933" s="90">
        <v>0.2</v>
      </c>
      <c r="G933" s="109"/>
      <c r="H933" s="89">
        <f t="shared" si="143"/>
        <v>0.18000000000000002</v>
      </c>
      <c r="I933" s="90"/>
      <c r="J933" s="90"/>
      <c r="K933" s="157"/>
      <c r="L933" s="157"/>
      <c r="M933" s="158"/>
      <c r="O933" s="82">
        <f t="shared" si="135"/>
        <v>0</v>
      </c>
    </row>
    <row r="934" spans="1:15" ht="15.95" customHeight="1" x14ac:dyDescent="0.2">
      <c r="A934" s="40"/>
      <c r="B934" s="46"/>
      <c r="C934" s="41"/>
      <c r="D934" s="41"/>
      <c r="E934" s="90"/>
      <c r="F934" s="90"/>
      <c r="G934" s="90"/>
      <c r="H934" s="90"/>
      <c r="I934" s="90">
        <f>SUM(H932:H933)</f>
        <v>6.18</v>
      </c>
      <c r="J934" s="90"/>
      <c r="K934" s="163"/>
      <c r="L934" s="163"/>
      <c r="M934" s="158"/>
      <c r="O934" s="82">
        <f t="shared" si="135"/>
        <v>0</v>
      </c>
    </row>
    <row r="935" spans="1:15" ht="16.5" customHeight="1" x14ac:dyDescent="0.2">
      <c r="A935" s="40"/>
      <c r="B935" s="45"/>
      <c r="C935" s="41"/>
      <c r="D935" s="41"/>
      <c r="E935" s="90"/>
      <c r="F935" s="90"/>
      <c r="G935" s="90"/>
      <c r="H935" s="90"/>
      <c r="I935" s="90"/>
      <c r="J935" s="90"/>
      <c r="K935" s="163"/>
      <c r="L935" s="163"/>
      <c r="M935" s="158"/>
      <c r="O935" s="82">
        <f t="shared" si="135"/>
        <v>0</v>
      </c>
    </row>
    <row r="936" spans="1:15" ht="15.95" customHeight="1" x14ac:dyDescent="0.2">
      <c r="A936" s="40" t="s">
        <v>198</v>
      </c>
      <c r="B936" s="50" t="s">
        <v>367</v>
      </c>
      <c r="C936" s="51" t="s">
        <v>4</v>
      </c>
      <c r="D936" s="51"/>
      <c r="E936" s="89"/>
      <c r="F936" s="89"/>
      <c r="G936" s="89"/>
      <c r="H936" s="89"/>
      <c r="I936" s="89"/>
      <c r="J936" s="89">
        <f>SUM(I937:I958)</f>
        <v>201.03190000000001</v>
      </c>
      <c r="K936" s="157">
        <v>205</v>
      </c>
      <c r="L936" s="157">
        <v>140</v>
      </c>
      <c r="M936" s="158">
        <f t="shared" si="137"/>
        <v>28700</v>
      </c>
      <c r="O936" s="82">
        <f t="shared" si="135"/>
        <v>3.9680999999999926</v>
      </c>
    </row>
    <row r="937" spans="1:15" s="5" customFormat="1" ht="16.149999999999999" customHeight="1" x14ac:dyDescent="0.2">
      <c r="A937" s="30"/>
      <c r="B937" s="98" t="s">
        <v>465</v>
      </c>
      <c r="C937" s="32"/>
      <c r="D937" s="32"/>
      <c r="E937" s="89"/>
      <c r="F937" s="89"/>
      <c r="G937" s="89"/>
      <c r="H937" s="89">
        <f t="shared" ref="H937:H944" si="144">PRODUCT(D937:G937)</f>
        <v>0</v>
      </c>
      <c r="I937" s="89"/>
      <c r="J937" s="89"/>
      <c r="K937" s="157"/>
      <c r="L937" s="157"/>
      <c r="M937" s="158"/>
      <c r="O937" s="82">
        <f t="shared" si="135"/>
        <v>0</v>
      </c>
    </row>
    <row r="938" spans="1:15" s="5" customFormat="1" ht="16.149999999999999" customHeight="1" x14ac:dyDescent="0.2">
      <c r="A938" s="30"/>
      <c r="B938" s="44" t="s">
        <v>485</v>
      </c>
      <c r="C938" s="41"/>
      <c r="D938" s="41">
        <v>1</v>
      </c>
      <c r="E938" s="109">
        <v>5.0999999999999996</v>
      </c>
      <c r="F938" s="109">
        <v>3.1</v>
      </c>
      <c r="G938" s="109"/>
      <c r="H938" s="89">
        <f t="shared" si="144"/>
        <v>15.809999999999999</v>
      </c>
      <c r="I938" s="89"/>
      <c r="K938" s="157"/>
      <c r="L938" s="157"/>
      <c r="M938" s="158"/>
      <c r="O938" s="82">
        <f t="shared" si="135"/>
        <v>0</v>
      </c>
    </row>
    <row r="939" spans="1:15" s="5" customFormat="1" ht="16.149999999999999" customHeight="1" x14ac:dyDescent="0.2">
      <c r="A939" s="30"/>
      <c r="B939" s="44" t="s">
        <v>486</v>
      </c>
      <c r="C939" s="41"/>
      <c r="D939" s="41">
        <v>1</v>
      </c>
      <c r="E939" s="109">
        <v>5.0999999999999996</v>
      </c>
      <c r="F939" s="109">
        <v>7.1</v>
      </c>
      <c r="G939" s="109"/>
      <c r="H939" s="89">
        <f t="shared" si="144"/>
        <v>36.209999999999994</v>
      </c>
      <c r="I939" s="89"/>
      <c r="K939" s="157"/>
      <c r="L939" s="157"/>
      <c r="M939" s="158"/>
      <c r="O939" s="82">
        <f t="shared" si="135"/>
        <v>0</v>
      </c>
    </row>
    <row r="940" spans="1:15" s="5" customFormat="1" ht="16.149999999999999" customHeight="1" x14ac:dyDescent="0.2">
      <c r="A940" s="30"/>
      <c r="B940" s="44" t="s">
        <v>487</v>
      </c>
      <c r="C940" s="41"/>
      <c r="D940" s="41">
        <v>2</v>
      </c>
      <c r="E940" s="109">
        <v>2.1</v>
      </c>
      <c r="F940" s="109">
        <v>1.9</v>
      </c>
      <c r="G940" s="109"/>
      <c r="H940" s="89">
        <f t="shared" si="144"/>
        <v>7.9799999999999995</v>
      </c>
      <c r="I940" s="89"/>
      <c r="K940" s="157"/>
      <c r="L940" s="157"/>
      <c r="M940" s="158"/>
      <c r="O940" s="82">
        <f t="shared" si="135"/>
        <v>0</v>
      </c>
    </row>
    <row r="941" spans="1:15" s="5" customFormat="1" ht="16.149999999999999" customHeight="1" x14ac:dyDescent="0.2">
      <c r="A941" s="30"/>
      <c r="B941" s="44" t="s">
        <v>488</v>
      </c>
      <c r="C941" s="41"/>
      <c r="D941" s="41">
        <v>1</v>
      </c>
      <c r="E941" s="109">
        <v>4.8</v>
      </c>
      <c r="F941" s="109">
        <v>2.5</v>
      </c>
      <c r="G941" s="109"/>
      <c r="H941" s="89">
        <f t="shared" si="144"/>
        <v>12</v>
      </c>
      <c r="I941" s="89"/>
      <c r="K941" s="157"/>
      <c r="L941" s="157"/>
      <c r="M941" s="158"/>
      <c r="O941" s="82">
        <f t="shared" si="135"/>
        <v>0</v>
      </c>
    </row>
    <row r="942" spans="1:15" s="5" customFormat="1" ht="16.149999999999999" customHeight="1" x14ac:dyDescent="0.2">
      <c r="A942" s="30"/>
      <c r="B942" s="44" t="s">
        <v>479</v>
      </c>
      <c r="C942" s="41"/>
      <c r="D942" s="41">
        <v>1</v>
      </c>
      <c r="E942" s="109">
        <v>4.3</v>
      </c>
      <c r="F942" s="109">
        <v>2.9</v>
      </c>
      <c r="G942" s="109"/>
      <c r="H942" s="89">
        <f t="shared" si="144"/>
        <v>12.469999999999999</v>
      </c>
      <c r="I942" s="89"/>
      <c r="K942" s="157"/>
      <c r="L942" s="157"/>
      <c r="M942" s="158"/>
      <c r="O942" s="82">
        <f t="shared" si="135"/>
        <v>0</v>
      </c>
    </row>
    <row r="943" spans="1:15" s="5" customFormat="1" ht="16.149999999999999" customHeight="1" x14ac:dyDescent="0.2">
      <c r="A943" s="30"/>
      <c r="B943" s="44" t="s">
        <v>496</v>
      </c>
      <c r="C943" s="41"/>
      <c r="D943" s="41">
        <v>1</v>
      </c>
      <c r="E943" s="109">
        <v>7.3</v>
      </c>
      <c r="F943" s="109">
        <v>2</v>
      </c>
      <c r="G943" s="109"/>
      <c r="H943" s="89">
        <f t="shared" si="144"/>
        <v>14.6</v>
      </c>
      <c r="I943" s="89"/>
      <c r="K943" s="157"/>
      <c r="L943" s="157"/>
      <c r="M943" s="158"/>
      <c r="O943" s="82">
        <f t="shared" si="135"/>
        <v>0</v>
      </c>
    </row>
    <row r="944" spans="1:15" s="5" customFormat="1" ht="16.149999999999999" customHeight="1" x14ac:dyDescent="0.2">
      <c r="A944" s="30"/>
      <c r="B944" s="44"/>
      <c r="C944" s="41"/>
      <c r="D944" s="41">
        <v>1</v>
      </c>
      <c r="E944" s="109">
        <v>5</v>
      </c>
      <c r="F944" s="109">
        <v>1.3</v>
      </c>
      <c r="G944" s="109"/>
      <c r="H944" s="89">
        <f t="shared" si="144"/>
        <v>6.5</v>
      </c>
      <c r="I944" s="89"/>
      <c r="K944" s="157"/>
      <c r="L944" s="157"/>
      <c r="M944" s="158"/>
      <c r="O944" s="82">
        <f t="shared" si="135"/>
        <v>0</v>
      </c>
    </row>
    <row r="945" spans="1:15" ht="15.95" customHeight="1" x14ac:dyDescent="0.2">
      <c r="A945" s="30"/>
      <c r="B945" s="46"/>
      <c r="C945" s="41"/>
      <c r="D945" s="41"/>
      <c r="E945" s="90"/>
      <c r="F945" s="90"/>
      <c r="G945" s="90"/>
      <c r="H945" s="89"/>
      <c r="I945" s="90">
        <f>SUM(H938:H944)</f>
        <v>105.57</v>
      </c>
      <c r="J945" s="90"/>
      <c r="K945" s="157"/>
      <c r="L945" s="157"/>
      <c r="M945" s="158"/>
      <c r="O945" s="82">
        <f t="shared" si="135"/>
        <v>0</v>
      </c>
    </row>
    <row r="946" spans="1:15" s="5" customFormat="1" ht="16.149999999999999" customHeight="1" x14ac:dyDescent="0.2">
      <c r="A946" s="30"/>
      <c r="B946" s="98" t="s">
        <v>530</v>
      </c>
      <c r="C946" s="32"/>
      <c r="D946" s="32"/>
      <c r="E946" s="89"/>
      <c r="F946" s="89"/>
      <c r="G946" s="89"/>
      <c r="H946" s="89">
        <f t="shared" ref="H946:H956" si="145">PRODUCT(D946:G946)</f>
        <v>0</v>
      </c>
      <c r="I946" s="89"/>
      <c r="J946" s="89"/>
      <c r="K946" s="157"/>
      <c r="L946" s="157"/>
      <c r="M946" s="158"/>
      <c r="O946" s="82">
        <f t="shared" si="135"/>
        <v>0</v>
      </c>
    </row>
    <row r="947" spans="1:15" s="5" customFormat="1" ht="16.149999999999999" customHeight="1" x14ac:dyDescent="0.2">
      <c r="A947" s="30"/>
      <c r="B947" s="44" t="s">
        <v>540</v>
      </c>
      <c r="C947" s="41"/>
      <c r="D947" s="41">
        <v>1</v>
      </c>
      <c r="E947" s="109">
        <v>3.17</v>
      </c>
      <c r="F947" s="109">
        <v>3.17</v>
      </c>
      <c r="G947" s="109"/>
      <c r="H947" s="89">
        <f t="shared" si="145"/>
        <v>10.0489</v>
      </c>
      <c r="I947" s="89"/>
      <c r="K947" s="157"/>
      <c r="L947" s="157"/>
      <c r="M947" s="158"/>
      <c r="O947" s="82">
        <f t="shared" si="135"/>
        <v>0</v>
      </c>
    </row>
    <row r="948" spans="1:15" s="5" customFormat="1" ht="16.149999999999999" customHeight="1" x14ac:dyDescent="0.2">
      <c r="A948" s="30"/>
      <c r="B948" s="44" t="s">
        <v>541</v>
      </c>
      <c r="C948" s="41"/>
      <c r="D948" s="41">
        <v>1</v>
      </c>
      <c r="E948" s="109">
        <v>1.6</v>
      </c>
      <c r="F948" s="109">
        <v>1.9</v>
      </c>
      <c r="G948" s="109"/>
      <c r="H948" s="89">
        <f t="shared" si="145"/>
        <v>3.04</v>
      </c>
      <c r="I948" s="89"/>
      <c r="K948" s="157"/>
      <c r="L948" s="157"/>
      <c r="M948" s="158"/>
      <c r="O948" s="82">
        <f t="shared" si="135"/>
        <v>0</v>
      </c>
    </row>
    <row r="949" spans="1:15" s="5" customFormat="1" ht="16.149999999999999" customHeight="1" x14ac:dyDescent="0.2">
      <c r="A949" s="30"/>
      <c r="B949" s="44" t="s">
        <v>542</v>
      </c>
      <c r="C949" s="41"/>
      <c r="D949" s="41">
        <v>1</v>
      </c>
      <c r="E949" s="109">
        <v>3.1</v>
      </c>
      <c r="F949" s="109">
        <v>2.9</v>
      </c>
      <c r="G949" s="109"/>
      <c r="H949" s="89">
        <f t="shared" si="145"/>
        <v>8.99</v>
      </c>
      <c r="I949" s="89"/>
      <c r="K949" s="157"/>
      <c r="L949" s="157"/>
      <c r="M949" s="158"/>
      <c r="O949" s="82">
        <f t="shared" si="135"/>
        <v>0</v>
      </c>
    </row>
    <row r="950" spans="1:15" s="5" customFormat="1" ht="16.149999999999999" customHeight="1" x14ac:dyDescent="0.2">
      <c r="A950" s="30"/>
      <c r="B950" s="44" t="s">
        <v>533</v>
      </c>
      <c r="C950" s="41"/>
      <c r="D950" s="41">
        <v>1</v>
      </c>
      <c r="E950" s="109">
        <v>3.22</v>
      </c>
      <c r="F950" s="109">
        <v>2.85</v>
      </c>
      <c r="G950" s="109"/>
      <c r="H950" s="89">
        <f t="shared" si="145"/>
        <v>9.1770000000000014</v>
      </c>
      <c r="I950" s="89"/>
      <c r="K950" s="157"/>
      <c r="L950" s="157"/>
      <c r="M950" s="158"/>
      <c r="O950" s="82">
        <f t="shared" si="135"/>
        <v>0</v>
      </c>
    </row>
    <row r="951" spans="1:15" s="5" customFormat="1" ht="16.149999999999999" customHeight="1" x14ac:dyDescent="0.2">
      <c r="A951" s="30"/>
      <c r="B951" s="44" t="s">
        <v>548</v>
      </c>
      <c r="C951" s="41"/>
      <c r="D951" s="41">
        <v>1</v>
      </c>
      <c r="E951" s="109">
        <v>1.2</v>
      </c>
      <c r="F951" s="109">
        <v>2.85</v>
      </c>
      <c r="G951" s="109"/>
      <c r="H951" s="89">
        <f t="shared" si="145"/>
        <v>3.42</v>
      </c>
      <c r="I951" s="89"/>
      <c r="K951" s="157"/>
      <c r="L951" s="157"/>
      <c r="M951" s="158"/>
      <c r="O951" s="82">
        <f t="shared" si="135"/>
        <v>0</v>
      </c>
    </row>
    <row r="952" spans="1:15" s="5" customFormat="1" ht="16.149999999999999" customHeight="1" x14ac:dyDescent="0.2">
      <c r="A952" s="30"/>
      <c r="B952" s="44" t="s">
        <v>544</v>
      </c>
      <c r="C952" s="41"/>
      <c r="D952" s="41">
        <v>3</v>
      </c>
      <c r="E952" s="109">
        <f>2.92+0.2</f>
        <v>3.12</v>
      </c>
      <c r="F952" s="109">
        <v>3.2</v>
      </c>
      <c r="G952" s="109"/>
      <c r="H952" s="89">
        <f t="shared" si="145"/>
        <v>29.951999999999998</v>
      </c>
      <c r="I952" s="89"/>
      <c r="K952" s="157"/>
      <c r="L952" s="157"/>
      <c r="M952" s="158"/>
      <c r="O952" s="82">
        <f t="shared" si="135"/>
        <v>0</v>
      </c>
    </row>
    <row r="953" spans="1:15" s="5" customFormat="1" ht="16.149999999999999" customHeight="1" x14ac:dyDescent="0.2">
      <c r="A953" s="30"/>
      <c r="B953" s="44" t="s">
        <v>545</v>
      </c>
      <c r="C953" s="41"/>
      <c r="D953" s="41">
        <v>1</v>
      </c>
      <c r="E953" s="109">
        <v>0.9</v>
      </c>
      <c r="F953" s="109">
        <v>1.85</v>
      </c>
      <c r="G953" s="109"/>
      <c r="H953" s="89">
        <f t="shared" si="145"/>
        <v>1.665</v>
      </c>
      <c r="I953" s="89"/>
      <c r="K953" s="157"/>
      <c r="L953" s="157"/>
      <c r="M953" s="158"/>
      <c r="O953" s="82">
        <f t="shared" si="135"/>
        <v>0</v>
      </c>
    </row>
    <row r="954" spans="1:15" ht="15.95" customHeight="1" x14ac:dyDescent="0.2">
      <c r="A954" s="30"/>
      <c r="B954" s="46"/>
      <c r="C954" s="41"/>
      <c r="D954" s="41">
        <v>1</v>
      </c>
      <c r="E954" s="90">
        <v>1.24</v>
      </c>
      <c r="F954" s="90">
        <v>1.85</v>
      </c>
      <c r="G954" s="109"/>
      <c r="H954" s="89">
        <f t="shared" si="145"/>
        <v>2.294</v>
      </c>
      <c r="I954" s="90"/>
      <c r="J954" s="90"/>
      <c r="K954" s="157"/>
      <c r="L954" s="157"/>
      <c r="M954" s="158"/>
      <c r="O954" s="82">
        <f t="shared" si="135"/>
        <v>0</v>
      </c>
    </row>
    <row r="955" spans="1:15" s="5" customFormat="1" ht="16.149999999999999" customHeight="1" x14ac:dyDescent="0.2">
      <c r="A955" s="30"/>
      <c r="B955" s="44" t="s">
        <v>546</v>
      </c>
      <c r="C955" s="41"/>
      <c r="D955" s="41">
        <v>1</v>
      </c>
      <c r="E955" s="109">
        <v>4.4000000000000004</v>
      </c>
      <c r="F955" s="109">
        <v>3.5</v>
      </c>
      <c r="G955" s="109"/>
      <c r="H955" s="89">
        <f t="shared" si="145"/>
        <v>15.400000000000002</v>
      </c>
      <c r="I955" s="89"/>
      <c r="K955" s="157"/>
      <c r="L955" s="157"/>
      <c r="M955" s="158"/>
      <c r="O955" s="82">
        <f t="shared" si="135"/>
        <v>0</v>
      </c>
    </row>
    <row r="956" spans="1:15" s="5" customFormat="1" ht="16.149999999999999" customHeight="1" x14ac:dyDescent="0.2">
      <c r="A956" s="30"/>
      <c r="B956" s="44" t="s">
        <v>496</v>
      </c>
      <c r="C956" s="41"/>
      <c r="D956" s="41">
        <v>1</v>
      </c>
      <c r="E956" s="109">
        <v>1.7</v>
      </c>
      <c r="F956" s="109">
        <v>6.75</v>
      </c>
      <c r="G956" s="109"/>
      <c r="H956" s="89">
        <f t="shared" si="145"/>
        <v>11.475</v>
      </c>
      <c r="I956" s="89"/>
      <c r="K956" s="157"/>
      <c r="L956" s="157"/>
      <c r="M956" s="158"/>
      <c r="O956" s="82">
        <f t="shared" si="135"/>
        <v>0</v>
      </c>
    </row>
    <row r="957" spans="1:15" ht="15.95" customHeight="1" x14ac:dyDescent="0.2">
      <c r="A957" s="30"/>
      <c r="B957" s="41"/>
      <c r="C957" s="41"/>
      <c r="D957" s="41"/>
      <c r="E957" s="90"/>
      <c r="F957" s="90"/>
      <c r="G957" s="90"/>
      <c r="H957" s="89"/>
      <c r="I957" s="89">
        <f>SUM(H947:H956)</f>
        <v>95.4619</v>
      </c>
      <c r="J957" s="108"/>
      <c r="K957" s="157"/>
      <c r="L957" s="157"/>
      <c r="M957" s="158"/>
      <c r="O957" s="82">
        <f t="shared" si="135"/>
        <v>0</v>
      </c>
    </row>
    <row r="958" spans="1:15" ht="15.95" customHeight="1" x14ac:dyDescent="0.2">
      <c r="A958" s="40"/>
      <c r="B958" s="46"/>
      <c r="C958" s="41"/>
      <c r="D958" s="41"/>
      <c r="E958" s="90"/>
      <c r="F958" s="90"/>
      <c r="G958" s="90"/>
      <c r="H958" s="90"/>
      <c r="I958" s="90"/>
      <c r="J958" s="90"/>
      <c r="K958" s="163"/>
      <c r="L958" s="163"/>
      <c r="M958" s="158"/>
      <c r="O958" s="82">
        <f t="shared" si="135"/>
        <v>0</v>
      </c>
    </row>
    <row r="959" spans="1:15" ht="15.95" customHeight="1" x14ac:dyDescent="0.2">
      <c r="A959" s="40" t="s">
        <v>199</v>
      </c>
      <c r="B959" s="52" t="s">
        <v>371</v>
      </c>
      <c r="C959" s="41" t="s">
        <v>1</v>
      </c>
      <c r="D959" s="41"/>
      <c r="E959" s="90"/>
      <c r="F959" s="90"/>
      <c r="G959" s="90"/>
      <c r="H959" s="90"/>
      <c r="I959" s="90"/>
      <c r="J959" s="90">
        <f>SUM(I962:I1039)</f>
        <v>442.02</v>
      </c>
      <c r="K959" s="163">
        <v>450</v>
      </c>
      <c r="L959" s="163">
        <v>30</v>
      </c>
      <c r="M959" s="158">
        <f t="shared" si="137"/>
        <v>13500</v>
      </c>
      <c r="O959" s="82">
        <f t="shared" si="135"/>
        <v>7.9800000000000182</v>
      </c>
    </row>
    <row r="960" spans="1:15" s="5" customFormat="1" ht="16.149999999999999" customHeight="1" x14ac:dyDescent="0.2">
      <c r="A960" s="30"/>
      <c r="B960" s="98" t="s">
        <v>464</v>
      </c>
      <c r="C960" s="32"/>
      <c r="D960" s="32"/>
      <c r="E960" s="89"/>
      <c r="F960" s="89"/>
      <c r="G960" s="89"/>
      <c r="H960" s="89"/>
      <c r="I960" s="89"/>
      <c r="K960" s="157"/>
      <c r="L960" s="157"/>
      <c r="M960" s="158"/>
      <c r="O960" s="82">
        <f t="shared" si="135"/>
        <v>0</v>
      </c>
    </row>
    <row r="961" spans="1:15" s="5" customFormat="1" ht="16.149999999999999" customHeight="1" x14ac:dyDescent="0.2">
      <c r="A961" s="30"/>
      <c r="B961" s="105" t="s">
        <v>474</v>
      </c>
      <c r="C961" s="32"/>
      <c r="D961" s="32"/>
      <c r="E961" s="89"/>
      <c r="F961" s="89"/>
      <c r="G961" s="89"/>
      <c r="I961" s="89"/>
      <c r="K961" s="157"/>
      <c r="L961" s="157"/>
      <c r="M961" s="158"/>
      <c r="O961" s="82">
        <f t="shared" si="135"/>
        <v>0</v>
      </c>
    </row>
    <row r="962" spans="1:15" s="5" customFormat="1" ht="16.149999999999999" customHeight="1" x14ac:dyDescent="0.2">
      <c r="A962" s="30"/>
      <c r="B962" s="44" t="s">
        <v>494</v>
      </c>
      <c r="C962" s="41"/>
      <c r="D962" s="41">
        <v>10</v>
      </c>
      <c r="E962" s="109">
        <v>6.6</v>
      </c>
      <c r="F962" s="109"/>
      <c r="G962" s="109"/>
      <c r="H962" s="89">
        <f>PRODUCT(D962:G962)</f>
        <v>66</v>
      </c>
      <c r="I962" s="89"/>
      <c r="K962" s="157"/>
      <c r="L962" s="157"/>
      <c r="M962" s="158"/>
      <c r="O962" s="82">
        <f t="shared" si="135"/>
        <v>0</v>
      </c>
    </row>
    <row r="963" spans="1:15" s="5" customFormat="1" ht="16.149999999999999" customHeight="1" x14ac:dyDescent="0.2">
      <c r="A963" s="30"/>
      <c r="B963" s="44"/>
      <c r="C963" s="41"/>
      <c r="D963" s="41">
        <v>10</v>
      </c>
      <c r="E963" s="109">
        <v>8.6300000000000008</v>
      </c>
      <c r="F963" s="109"/>
      <c r="G963" s="109"/>
      <c r="H963" s="89">
        <f t="shared" ref="H963:I977" si="146">PRODUCT(D963:G963)</f>
        <v>86.300000000000011</v>
      </c>
      <c r="I963" s="89"/>
      <c r="K963" s="157"/>
      <c r="L963" s="157"/>
      <c r="M963" s="158"/>
      <c r="O963" s="82">
        <f t="shared" si="135"/>
        <v>0</v>
      </c>
    </row>
    <row r="964" spans="1:15" s="5" customFormat="1" ht="16.149999999999999" customHeight="1" x14ac:dyDescent="0.2">
      <c r="A964" s="30"/>
      <c r="B964" s="110" t="s">
        <v>480</v>
      </c>
      <c r="C964" s="41"/>
      <c r="D964" s="41"/>
      <c r="E964" s="109"/>
      <c r="F964" s="109"/>
      <c r="G964" s="109"/>
      <c r="H964" s="89">
        <f t="shared" si="146"/>
        <v>0</v>
      </c>
      <c r="I964" s="89"/>
      <c r="K964" s="157"/>
      <c r="L964" s="157"/>
      <c r="M964" s="158"/>
      <c r="O964" s="82">
        <f t="shared" si="135"/>
        <v>0</v>
      </c>
    </row>
    <row r="965" spans="1:15" ht="15.95" customHeight="1" x14ac:dyDescent="0.2">
      <c r="A965" s="30"/>
      <c r="B965" s="41" t="s">
        <v>481</v>
      </c>
      <c r="C965" s="41"/>
      <c r="D965" s="41">
        <v>-5</v>
      </c>
      <c r="E965" s="90">
        <v>0.9</v>
      </c>
      <c r="F965" s="90"/>
      <c r="G965" s="90"/>
      <c r="H965" s="89">
        <f t="shared" si="146"/>
        <v>-4.5</v>
      </c>
      <c r="I965" s="89"/>
      <c r="J965" s="108"/>
      <c r="K965" s="157"/>
      <c r="L965" s="157"/>
      <c r="M965" s="158"/>
      <c r="O965" s="82">
        <f t="shared" si="135"/>
        <v>0</v>
      </c>
    </row>
    <row r="966" spans="1:15" ht="15.95" customHeight="1" x14ac:dyDescent="0.2">
      <c r="A966" s="30"/>
      <c r="B966" s="46"/>
      <c r="C966" s="41"/>
      <c r="D966" s="41"/>
      <c r="E966" s="90"/>
      <c r="F966" s="90"/>
      <c r="G966" s="90"/>
      <c r="H966" s="89">
        <f t="shared" si="146"/>
        <v>0</v>
      </c>
      <c r="I966" s="89"/>
      <c r="J966" s="108"/>
      <c r="K966" s="157"/>
      <c r="L966" s="157"/>
      <c r="M966" s="158"/>
      <c r="O966" s="82">
        <f t="shared" ref="O966:O1029" si="147">K966-J966</f>
        <v>0</v>
      </c>
    </row>
    <row r="967" spans="1:15" ht="15.95" customHeight="1" x14ac:dyDescent="0.2">
      <c r="A967" s="30"/>
      <c r="B967" s="105" t="s">
        <v>475</v>
      </c>
      <c r="C967" s="41"/>
      <c r="D967" s="41"/>
      <c r="E967" s="90"/>
      <c r="F967" s="90"/>
      <c r="G967" s="90"/>
      <c r="H967" s="89">
        <f t="shared" si="146"/>
        <v>0</v>
      </c>
      <c r="I967" s="89">
        <f t="shared" si="146"/>
        <v>0</v>
      </c>
      <c r="J967" s="90"/>
      <c r="K967" s="157"/>
      <c r="L967" s="157"/>
      <c r="M967" s="158"/>
      <c r="O967" s="82">
        <f t="shared" si="147"/>
        <v>0</v>
      </c>
    </row>
    <row r="968" spans="1:15" s="5" customFormat="1" ht="16.149999999999999" customHeight="1" x14ac:dyDescent="0.2">
      <c r="A968" s="30"/>
      <c r="B968" s="44" t="s">
        <v>494</v>
      </c>
      <c r="C968" s="41"/>
      <c r="D968" s="41">
        <v>10</v>
      </c>
      <c r="E968" s="109">
        <v>6.6</v>
      </c>
      <c r="F968" s="109"/>
      <c r="G968" s="109"/>
      <c r="H968" s="89">
        <f t="shared" si="146"/>
        <v>66</v>
      </c>
      <c r="I968" s="89"/>
      <c r="K968" s="157"/>
      <c r="L968" s="157"/>
      <c r="M968" s="158"/>
      <c r="O968" s="82">
        <f t="shared" si="147"/>
        <v>0</v>
      </c>
    </row>
    <row r="969" spans="1:15" s="5" customFormat="1" ht="16.149999999999999" customHeight="1" x14ac:dyDescent="0.2">
      <c r="A969" s="30"/>
      <c r="B969" s="44"/>
      <c r="C969" s="41"/>
      <c r="D969" s="41">
        <v>10</v>
      </c>
      <c r="E969" s="109">
        <v>8.6</v>
      </c>
      <c r="F969" s="109"/>
      <c r="G969" s="109"/>
      <c r="H969" s="89">
        <f t="shared" si="146"/>
        <v>86</v>
      </c>
      <c r="I969" s="89"/>
      <c r="K969" s="157"/>
      <c r="L969" s="157"/>
      <c r="M969" s="158"/>
      <c r="O969" s="82">
        <f t="shared" si="147"/>
        <v>0</v>
      </c>
    </row>
    <row r="970" spans="1:15" s="5" customFormat="1" ht="16.149999999999999" customHeight="1" x14ac:dyDescent="0.2">
      <c r="A970" s="30"/>
      <c r="B970" s="110" t="s">
        <v>480</v>
      </c>
      <c r="C970" s="41"/>
      <c r="D970" s="41"/>
      <c r="E970" s="109"/>
      <c r="F970" s="109"/>
      <c r="G970" s="109"/>
      <c r="H970" s="89">
        <f t="shared" si="146"/>
        <v>0</v>
      </c>
      <c r="I970" s="89"/>
      <c r="K970" s="157"/>
      <c r="L970" s="157"/>
      <c r="M970" s="158"/>
      <c r="O970" s="82">
        <f t="shared" si="147"/>
        <v>0</v>
      </c>
    </row>
    <row r="971" spans="1:15" ht="15.95" customHeight="1" x14ac:dyDescent="0.2">
      <c r="A971" s="30"/>
      <c r="B971" s="41" t="s">
        <v>481</v>
      </c>
      <c r="C971" s="41"/>
      <c r="D971" s="41">
        <v>-5</v>
      </c>
      <c r="E971" s="90">
        <v>0.9</v>
      </c>
      <c r="F971" s="90"/>
      <c r="G971" s="90"/>
      <c r="H971" s="89">
        <f t="shared" si="146"/>
        <v>-4.5</v>
      </c>
      <c r="I971" s="89"/>
      <c r="J971" s="108"/>
      <c r="K971" s="157"/>
      <c r="L971" s="157"/>
      <c r="M971" s="158"/>
      <c r="O971" s="82">
        <f t="shared" si="147"/>
        <v>0</v>
      </c>
    </row>
    <row r="972" spans="1:15" ht="15.95" customHeight="1" x14ac:dyDescent="0.2">
      <c r="A972" s="30"/>
      <c r="B972" s="46"/>
      <c r="C972" s="41"/>
      <c r="D972" s="41"/>
      <c r="E972" s="90"/>
      <c r="F972" s="90"/>
      <c r="G972" s="90"/>
      <c r="H972" s="89">
        <f t="shared" si="146"/>
        <v>0</v>
      </c>
      <c r="I972" s="89">
        <f>SUM(H961:H971)</f>
        <v>295.3</v>
      </c>
      <c r="J972" s="108"/>
      <c r="K972" s="157"/>
      <c r="L972" s="157"/>
      <c r="M972" s="158"/>
      <c r="O972" s="82">
        <f t="shared" si="147"/>
        <v>0</v>
      </c>
    </row>
    <row r="973" spans="1:15" ht="15.95" customHeight="1" x14ac:dyDescent="0.2">
      <c r="A973" s="30"/>
      <c r="B973" s="46"/>
      <c r="C973" s="41"/>
      <c r="D973" s="41"/>
      <c r="E973" s="90"/>
      <c r="F973" s="90"/>
      <c r="G973" s="90"/>
      <c r="H973" s="89">
        <f t="shared" si="146"/>
        <v>0</v>
      </c>
      <c r="I973" s="89">
        <f t="shared" si="146"/>
        <v>0</v>
      </c>
      <c r="J973" s="90"/>
      <c r="K973" s="157"/>
      <c r="L973" s="157"/>
      <c r="M973" s="158"/>
      <c r="O973" s="82">
        <f t="shared" si="147"/>
        <v>0</v>
      </c>
    </row>
    <row r="974" spans="1:15" s="5" customFormat="1" ht="16.149999999999999" customHeight="1" x14ac:dyDescent="0.2">
      <c r="A974" s="30"/>
      <c r="B974" s="98" t="s">
        <v>465</v>
      </c>
      <c r="C974" s="32"/>
      <c r="D974" s="32"/>
      <c r="E974" s="89"/>
      <c r="F974" s="89"/>
      <c r="G974" s="89"/>
      <c r="H974" s="89">
        <f t="shared" si="146"/>
        <v>0</v>
      </c>
      <c r="I974" s="89"/>
      <c r="J974" s="89"/>
      <c r="K974" s="157"/>
      <c r="L974" s="157"/>
      <c r="M974" s="158"/>
      <c r="O974" s="82">
        <f t="shared" si="147"/>
        <v>0</v>
      </c>
    </row>
    <row r="975" spans="1:15" s="5" customFormat="1" ht="16.149999999999999" customHeight="1" x14ac:dyDescent="0.2">
      <c r="A975" s="30"/>
      <c r="B975" s="44" t="s">
        <v>485</v>
      </c>
      <c r="C975" s="41"/>
      <c r="D975" s="41">
        <v>2</v>
      </c>
      <c r="E975" s="109">
        <v>5.0999999999999996</v>
      </c>
      <c r="F975" s="109"/>
      <c r="G975" s="109"/>
      <c r="H975" s="89">
        <f t="shared" si="146"/>
        <v>10.199999999999999</v>
      </c>
      <c r="I975" s="89"/>
      <c r="K975" s="157"/>
      <c r="L975" s="157"/>
      <c r="M975" s="158"/>
      <c r="O975" s="82">
        <f t="shared" si="147"/>
        <v>0</v>
      </c>
    </row>
    <row r="976" spans="1:15" ht="15.95" customHeight="1" x14ac:dyDescent="0.2">
      <c r="A976" s="30"/>
      <c r="B976" s="46"/>
      <c r="C976" s="41"/>
      <c r="D976" s="41">
        <v>2</v>
      </c>
      <c r="E976" s="90">
        <v>3.1</v>
      </c>
      <c r="F976" s="90"/>
      <c r="G976" s="109"/>
      <c r="H976" s="89">
        <f t="shared" si="146"/>
        <v>6.2</v>
      </c>
      <c r="I976" s="90"/>
      <c r="J976" s="90"/>
      <c r="K976" s="157"/>
      <c r="L976" s="157"/>
      <c r="M976" s="158"/>
      <c r="O976" s="82">
        <f t="shared" si="147"/>
        <v>0</v>
      </c>
    </row>
    <row r="977" spans="1:15" s="5" customFormat="1" ht="16.149999999999999" customHeight="1" x14ac:dyDescent="0.2">
      <c r="A977" s="30"/>
      <c r="B977" s="110" t="s">
        <v>480</v>
      </c>
      <c r="C977" s="41"/>
      <c r="D977" s="41"/>
      <c r="E977" s="109"/>
      <c r="F977" s="109"/>
      <c r="G977" s="109"/>
      <c r="H977" s="89">
        <f t="shared" si="146"/>
        <v>0</v>
      </c>
      <c r="I977" s="89"/>
      <c r="K977" s="157"/>
      <c r="L977" s="157"/>
      <c r="M977" s="158"/>
      <c r="O977" s="82">
        <f t="shared" si="147"/>
        <v>0</v>
      </c>
    </row>
    <row r="978" spans="1:15" ht="15.95" customHeight="1" x14ac:dyDescent="0.2">
      <c r="A978" s="30"/>
      <c r="B978" s="41" t="s">
        <v>481</v>
      </c>
      <c r="C978" s="41"/>
      <c r="D978" s="41">
        <v>-1</v>
      </c>
      <c r="E978" s="90">
        <v>0.9</v>
      </c>
      <c r="F978" s="90"/>
      <c r="G978" s="90"/>
      <c r="H978" s="89">
        <f t="shared" ref="H978:H1037" si="148">PRODUCT(D978:G978)</f>
        <v>-0.9</v>
      </c>
      <c r="I978" s="89"/>
      <c r="J978" s="108"/>
      <c r="K978" s="157"/>
      <c r="L978" s="157"/>
      <c r="M978" s="158"/>
      <c r="O978" s="82">
        <f t="shared" si="147"/>
        <v>0</v>
      </c>
    </row>
    <row r="979" spans="1:15" ht="15.95" customHeight="1" x14ac:dyDescent="0.2">
      <c r="A979" s="30"/>
      <c r="B979" s="41"/>
      <c r="C979" s="41"/>
      <c r="D979" s="41"/>
      <c r="E979" s="90"/>
      <c r="F979" s="90"/>
      <c r="G979" s="90"/>
      <c r="H979" s="89">
        <f t="shared" si="148"/>
        <v>0</v>
      </c>
      <c r="I979" s="89"/>
      <c r="J979" s="108"/>
      <c r="K979" s="157"/>
      <c r="L979" s="157"/>
      <c r="M979" s="158"/>
      <c r="O979" s="82">
        <f t="shared" si="147"/>
        <v>0</v>
      </c>
    </row>
    <row r="980" spans="1:15" s="5" customFormat="1" ht="16.149999999999999" customHeight="1" x14ac:dyDescent="0.2">
      <c r="A980" s="30"/>
      <c r="B980" s="44" t="s">
        <v>488</v>
      </c>
      <c r="C980" s="41"/>
      <c r="D980" s="41">
        <v>2</v>
      </c>
      <c r="E980" s="109">
        <v>4.8</v>
      </c>
      <c r="F980" s="109"/>
      <c r="G980" s="109"/>
      <c r="H980" s="89">
        <f t="shared" si="148"/>
        <v>9.6</v>
      </c>
      <c r="I980" s="89"/>
      <c r="K980" s="157"/>
      <c r="L980" s="157"/>
      <c r="M980" s="158"/>
      <c r="O980" s="82">
        <f t="shared" si="147"/>
        <v>0</v>
      </c>
    </row>
    <row r="981" spans="1:15" ht="15.95" customHeight="1" x14ac:dyDescent="0.2">
      <c r="A981" s="30"/>
      <c r="B981" s="46"/>
      <c r="C981" s="41"/>
      <c r="D981" s="41">
        <v>2</v>
      </c>
      <c r="E981" s="90">
        <v>2.5</v>
      </c>
      <c r="F981" s="90"/>
      <c r="G981" s="109"/>
      <c r="H981" s="89">
        <f t="shared" si="148"/>
        <v>5</v>
      </c>
      <c r="I981" s="90"/>
      <c r="J981" s="90"/>
      <c r="K981" s="157"/>
      <c r="L981" s="157"/>
      <c r="M981" s="158"/>
      <c r="O981" s="82">
        <f t="shared" si="147"/>
        <v>0</v>
      </c>
    </row>
    <row r="982" spans="1:15" s="5" customFormat="1" ht="16.149999999999999" customHeight="1" x14ac:dyDescent="0.2">
      <c r="A982" s="30"/>
      <c r="B982" s="110" t="s">
        <v>480</v>
      </c>
      <c r="C982" s="41"/>
      <c r="D982" s="41"/>
      <c r="E982" s="109"/>
      <c r="F982" s="109"/>
      <c r="G982" s="109"/>
      <c r="H982" s="89">
        <f t="shared" si="148"/>
        <v>0</v>
      </c>
      <c r="I982" s="89"/>
      <c r="K982" s="157"/>
      <c r="L982" s="157"/>
      <c r="M982" s="158"/>
      <c r="O982" s="82">
        <f t="shared" si="147"/>
        <v>0</v>
      </c>
    </row>
    <row r="983" spans="1:15" ht="15.95" customHeight="1" x14ac:dyDescent="0.2">
      <c r="A983" s="30"/>
      <c r="B983" s="41" t="s">
        <v>481</v>
      </c>
      <c r="C983" s="41"/>
      <c r="D983" s="41">
        <v>-2</v>
      </c>
      <c r="E983" s="90">
        <v>0.9</v>
      </c>
      <c r="F983" s="90"/>
      <c r="G983" s="90"/>
      <c r="H983" s="89">
        <f t="shared" si="148"/>
        <v>-1.8</v>
      </c>
      <c r="I983" s="89"/>
      <c r="J983" s="108"/>
      <c r="K983" s="157"/>
      <c r="L983" s="157"/>
      <c r="M983" s="158"/>
      <c r="O983" s="82">
        <f t="shared" si="147"/>
        <v>0</v>
      </c>
    </row>
    <row r="984" spans="1:15" ht="15.95" customHeight="1" x14ac:dyDescent="0.2">
      <c r="A984" s="30"/>
      <c r="B984" s="41"/>
      <c r="C984" s="41"/>
      <c r="D984" s="41"/>
      <c r="E984" s="90"/>
      <c r="F984" s="90"/>
      <c r="G984" s="90"/>
      <c r="H984" s="89">
        <f t="shared" si="148"/>
        <v>0</v>
      </c>
      <c r="I984" s="89"/>
      <c r="J984" s="108"/>
      <c r="K984" s="157"/>
      <c r="L984" s="157"/>
      <c r="M984" s="158"/>
      <c r="O984" s="82">
        <f t="shared" si="147"/>
        <v>0</v>
      </c>
    </row>
    <row r="985" spans="1:15" s="5" customFormat="1" ht="16.149999999999999" customHeight="1" x14ac:dyDescent="0.2">
      <c r="A985" s="30"/>
      <c r="B985" s="44" t="s">
        <v>479</v>
      </c>
      <c r="C985" s="41"/>
      <c r="D985" s="41">
        <v>2</v>
      </c>
      <c r="E985" s="109">
        <v>4.3</v>
      </c>
      <c r="F985" s="109"/>
      <c r="G985" s="109"/>
      <c r="H985" s="89">
        <f t="shared" si="148"/>
        <v>8.6</v>
      </c>
      <c r="I985" s="89"/>
      <c r="K985" s="157"/>
      <c r="L985" s="157"/>
      <c r="M985" s="158"/>
      <c r="O985" s="82">
        <f t="shared" si="147"/>
        <v>0</v>
      </c>
    </row>
    <row r="986" spans="1:15" ht="15.95" customHeight="1" x14ac:dyDescent="0.2">
      <c r="A986" s="30"/>
      <c r="B986" s="46"/>
      <c r="C986" s="41"/>
      <c r="D986" s="41">
        <v>2</v>
      </c>
      <c r="E986" s="90">
        <v>2.9</v>
      </c>
      <c r="F986" s="90"/>
      <c r="G986" s="109"/>
      <c r="H986" s="89">
        <f t="shared" si="148"/>
        <v>5.8</v>
      </c>
      <c r="I986" s="90"/>
      <c r="J986" s="90"/>
      <c r="K986" s="157"/>
      <c r="L986" s="157"/>
      <c r="M986" s="158"/>
      <c r="O986" s="82">
        <f t="shared" si="147"/>
        <v>0</v>
      </c>
    </row>
    <row r="987" spans="1:15" s="5" customFormat="1" ht="16.149999999999999" customHeight="1" x14ac:dyDescent="0.2">
      <c r="A987" s="30"/>
      <c r="B987" s="110" t="s">
        <v>480</v>
      </c>
      <c r="C987" s="41"/>
      <c r="D987" s="41"/>
      <c r="E987" s="109"/>
      <c r="F987" s="109"/>
      <c r="G987" s="109"/>
      <c r="H987" s="89">
        <f t="shared" si="148"/>
        <v>0</v>
      </c>
      <c r="I987" s="89"/>
      <c r="K987" s="157"/>
      <c r="L987" s="157"/>
      <c r="M987" s="158"/>
      <c r="O987" s="82">
        <f t="shared" si="147"/>
        <v>0</v>
      </c>
    </row>
    <row r="988" spans="1:15" ht="15.95" customHeight="1" x14ac:dyDescent="0.2">
      <c r="A988" s="30"/>
      <c r="B988" s="41" t="s">
        <v>481</v>
      </c>
      <c r="C988" s="41"/>
      <c r="D988" s="41">
        <v>-1</v>
      </c>
      <c r="E988" s="90">
        <v>0.9</v>
      </c>
      <c r="F988" s="90"/>
      <c r="G988" s="90"/>
      <c r="H988" s="89">
        <f t="shared" si="148"/>
        <v>-0.9</v>
      </c>
      <c r="I988" s="89"/>
      <c r="J988" s="108"/>
      <c r="K988" s="157"/>
      <c r="L988" s="157"/>
      <c r="M988" s="158"/>
      <c r="O988" s="82">
        <f t="shared" si="147"/>
        <v>0</v>
      </c>
    </row>
    <row r="989" spans="1:15" ht="15.95" customHeight="1" x14ac:dyDescent="0.2">
      <c r="A989" s="30"/>
      <c r="B989" s="41"/>
      <c r="C989" s="41"/>
      <c r="D989" s="41"/>
      <c r="E989" s="90"/>
      <c r="F989" s="90"/>
      <c r="G989" s="90"/>
      <c r="H989" s="89">
        <f t="shared" si="148"/>
        <v>0</v>
      </c>
      <c r="I989" s="89"/>
      <c r="J989" s="108"/>
      <c r="K989" s="157"/>
      <c r="L989" s="157"/>
      <c r="M989" s="158"/>
      <c r="O989" s="82">
        <f t="shared" si="147"/>
        <v>0</v>
      </c>
    </row>
    <row r="990" spans="1:15" s="5" customFormat="1" ht="16.149999999999999" customHeight="1" x14ac:dyDescent="0.2">
      <c r="A990" s="30"/>
      <c r="B990" s="44" t="s">
        <v>496</v>
      </c>
      <c r="C990" s="41"/>
      <c r="D990" s="41">
        <v>2</v>
      </c>
      <c r="E990" s="109">
        <v>2</v>
      </c>
      <c r="F990" s="109"/>
      <c r="G990" s="109"/>
      <c r="H990" s="89">
        <f t="shared" si="148"/>
        <v>4</v>
      </c>
      <c r="I990" s="89"/>
      <c r="K990" s="157"/>
      <c r="L990" s="157"/>
      <c r="M990" s="158"/>
      <c r="O990" s="82">
        <f t="shared" si="147"/>
        <v>0</v>
      </c>
    </row>
    <row r="991" spans="1:15" s="5" customFormat="1" ht="16.149999999999999" customHeight="1" x14ac:dyDescent="0.2">
      <c r="A991" s="30"/>
      <c r="B991" s="44"/>
      <c r="C991" s="41"/>
      <c r="D991" s="41">
        <v>2</v>
      </c>
      <c r="E991" s="109">
        <v>3.6</v>
      </c>
      <c r="F991" s="109"/>
      <c r="G991" s="109"/>
      <c r="H991" s="89">
        <f t="shared" si="148"/>
        <v>7.2</v>
      </c>
      <c r="I991" s="89"/>
      <c r="K991" s="157"/>
      <c r="L991" s="157"/>
      <c r="M991" s="158"/>
      <c r="O991" s="82">
        <f t="shared" si="147"/>
        <v>0</v>
      </c>
    </row>
    <row r="992" spans="1:15" s="5" customFormat="1" ht="16.149999999999999" customHeight="1" x14ac:dyDescent="0.2">
      <c r="A992" s="30"/>
      <c r="B992" s="44"/>
      <c r="C992" s="41"/>
      <c r="D992" s="41">
        <v>2</v>
      </c>
      <c r="E992" s="109">
        <v>4.3</v>
      </c>
      <c r="F992" s="109"/>
      <c r="G992" s="109"/>
      <c r="H992" s="89">
        <f t="shared" ref="H992:H993" si="149">PRODUCT(D992:G992)</f>
        <v>8.6</v>
      </c>
      <c r="I992" s="89"/>
      <c r="K992" s="157"/>
      <c r="L992" s="157"/>
      <c r="M992" s="158"/>
      <c r="O992" s="82">
        <f t="shared" si="147"/>
        <v>0</v>
      </c>
    </row>
    <row r="993" spans="1:15" s="5" customFormat="1" ht="16.149999999999999" customHeight="1" x14ac:dyDescent="0.2">
      <c r="A993" s="30"/>
      <c r="B993" s="44"/>
      <c r="C993" s="41"/>
      <c r="D993" s="41">
        <v>2</v>
      </c>
      <c r="E993" s="109">
        <v>1.3</v>
      </c>
      <c r="F993" s="109"/>
      <c r="G993" s="109"/>
      <c r="H993" s="89">
        <f t="shared" si="149"/>
        <v>2.6</v>
      </c>
      <c r="I993" s="89"/>
      <c r="K993" s="157"/>
      <c r="L993" s="157"/>
      <c r="M993" s="158"/>
      <c r="O993" s="82">
        <f t="shared" si="147"/>
        <v>0</v>
      </c>
    </row>
    <row r="994" spans="1:15" s="5" customFormat="1" ht="16.149999999999999" customHeight="1" x14ac:dyDescent="0.2">
      <c r="A994" s="30"/>
      <c r="B994" s="110" t="s">
        <v>480</v>
      </c>
      <c r="C994" s="41"/>
      <c r="D994" s="41"/>
      <c r="E994" s="109"/>
      <c r="F994" s="109"/>
      <c r="G994" s="109"/>
      <c r="H994" s="89">
        <f t="shared" si="148"/>
        <v>0</v>
      </c>
      <c r="I994" s="89"/>
      <c r="K994" s="157"/>
      <c r="L994" s="157"/>
      <c r="M994" s="158"/>
      <c r="O994" s="82">
        <f t="shared" si="147"/>
        <v>0</v>
      </c>
    </row>
    <row r="995" spans="1:15" ht="15.95" customHeight="1" x14ac:dyDescent="0.2">
      <c r="A995" s="30"/>
      <c r="B995" s="41" t="s">
        <v>481</v>
      </c>
      <c r="C995" s="41"/>
      <c r="D995" s="41">
        <v>-1</v>
      </c>
      <c r="E995" s="90">
        <v>2</v>
      </c>
      <c r="F995" s="90"/>
      <c r="G995" s="90"/>
      <c r="H995" s="89">
        <f t="shared" si="148"/>
        <v>-2</v>
      </c>
      <c r="I995" s="89"/>
      <c r="J995" s="108"/>
      <c r="K995" s="157"/>
      <c r="L995" s="157"/>
      <c r="M995" s="158"/>
      <c r="O995" s="82">
        <f t="shared" si="147"/>
        <v>0</v>
      </c>
    </row>
    <row r="996" spans="1:15" ht="15.95" customHeight="1" x14ac:dyDescent="0.2">
      <c r="A996" s="30"/>
      <c r="B996" s="41" t="s">
        <v>481</v>
      </c>
      <c r="C996" s="41"/>
      <c r="D996" s="41">
        <v>-3</v>
      </c>
      <c r="E996" s="90">
        <v>0.9</v>
      </c>
      <c r="F996" s="90"/>
      <c r="G996" s="90"/>
      <c r="H996" s="89">
        <f t="shared" si="148"/>
        <v>-2.7</v>
      </c>
      <c r="I996" s="89"/>
      <c r="J996" s="108"/>
      <c r="K996" s="157"/>
      <c r="L996" s="157"/>
      <c r="M996" s="158"/>
      <c r="O996" s="82">
        <f t="shared" si="147"/>
        <v>0</v>
      </c>
    </row>
    <row r="997" spans="1:15" ht="15.95" customHeight="1" x14ac:dyDescent="0.2">
      <c r="A997" s="30"/>
      <c r="B997" s="41"/>
      <c r="C997" s="41"/>
      <c r="D997" s="41">
        <v>-2</v>
      </c>
      <c r="E997" s="90">
        <v>0.8</v>
      </c>
      <c r="F997" s="90"/>
      <c r="G997" s="90"/>
      <c r="H997" s="89">
        <f t="shared" si="148"/>
        <v>-1.6</v>
      </c>
      <c r="I997" s="89"/>
      <c r="J997" s="108"/>
      <c r="K997" s="157"/>
      <c r="L997" s="157"/>
      <c r="M997" s="158"/>
      <c r="O997" s="82">
        <f t="shared" si="147"/>
        <v>0</v>
      </c>
    </row>
    <row r="998" spans="1:15" ht="15.95" customHeight="1" x14ac:dyDescent="0.2">
      <c r="A998" s="30"/>
      <c r="B998" s="46"/>
      <c r="C998" s="41"/>
      <c r="D998" s="41"/>
      <c r="E998" s="90"/>
      <c r="F998" s="90"/>
      <c r="G998" s="90"/>
      <c r="H998" s="89">
        <f t="shared" si="148"/>
        <v>0</v>
      </c>
      <c r="I998" s="90">
        <f>SUM(H974:H998)</f>
        <v>57.9</v>
      </c>
      <c r="J998" s="90"/>
      <c r="K998" s="157"/>
      <c r="L998" s="157"/>
      <c r="M998" s="158"/>
      <c r="O998" s="82">
        <f t="shared" si="147"/>
        <v>0</v>
      </c>
    </row>
    <row r="999" spans="1:15" s="5" customFormat="1" ht="16.149999999999999" customHeight="1" x14ac:dyDescent="0.2">
      <c r="A999" s="30"/>
      <c r="B999" s="98" t="s">
        <v>530</v>
      </c>
      <c r="C999" s="32"/>
      <c r="D999" s="32"/>
      <c r="E999" s="89"/>
      <c r="F999" s="89"/>
      <c r="G999" s="89"/>
      <c r="H999" s="89">
        <f t="shared" si="148"/>
        <v>0</v>
      </c>
      <c r="I999" s="89"/>
      <c r="J999" s="89"/>
      <c r="K999" s="157"/>
      <c r="L999" s="157"/>
      <c r="M999" s="158"/>
      <c r="O999" s="82">
        <f t="shared" si="147"/>
        <v>0</v>
      </c>
    </row>
    <row r="1000" spans="1:15" s="5" customFormat="1" ht="16.149999999999999" customHeight="1" x14ac:dyDescent="0.2">
      <c r="A1000" s="30"/>
      <c r="B1000" s="44" t="s">
        <v>540</v>
      </c>
      <c r="C1000" s="41"/>
      <c r="D1000" s="41">
        <v>2</v>
      </c>
      <c r="E1000" s="109">
        <v>3.17</v>
      </c>
      <c r="F1000" s="109"/>
      <c r="G1000" s="109"/>
      <c r="H1000" s="89">
        <f t="shared" si="148"/>
        <v>6.34</v>
      </c>
      <c r="I1000" s="89"/>
      <c r="K1000" s="157"/>
      <c r="L1000" s="157"/>
      <c r="M1000" s="158"/>
      <c r="O1000" s="82">
        <f t="shared" si="147"/>
        <v>0</v>
      </c>
    </row>
    <row r="1001" spans="1:15" ht="15.95" customHeight="1" x14ac:dyDescent="0.2">
      <c r="A1001" s="30"/>
      <c r="B1001" s="46"/>
      <c r="C1001" s="41"/>
      <c r="D1001" s="41">
        <v>2</v>
      </c>
      <c r="E1001" s="90">
        <v>3.17</v>
      </c>
      <c r="F1001" s="90"/>
      <c r="G1001" s="109"/>
      <c r="H1001" s="89">
        <f t="shared" si="148"/>
        <v>6.34</v>
      </c>
      <c r="I1001" s="90"/>
      <c r="J1001" s="90"/>
      <c r="K1001" s="157"/>
      <c r="L1001" s="157"/>
      <c r="M1001" s="158"/>
      <c r="O1001" s="82">
        <f t="shared" si="147"/>
        <v>0</v>
      </c>
    </row>
    <row r="1002" spans="1:15" s="5" customFormat="1" ht="16.149999999999999" customHeight="1" x14ac:dyDescent="0.2">
      <c r="A1002" s="30"/>
      <c r="B1002" s="110" t="s">
        <v>480</v>
      </c>
      <c r="C1002" s="41"/>
      <c r="D1002" s="41"/>
      <c r="E1002" s="109"/>
      <c r="F1002" s="109"/>
      <c r="G1002" s="109"/>
      <c r="H1002" s="89">
        <f t="shared" si="148"/>
        <v>0</v>
      </c>
      <c r="I1002" s="89"/>
      <c r="K1002" s="157"/>
      <c r="L1002" s="157"/>
      <c r="M1002" s="158"/>
      <c r="O1002" s="82">
        <f t="shared" si="147"/>
        <v>0</v>
      </c>
    </row>
    <row r="1003" spans="1:15" ht="15.95" customHeight="1" x14ac:dyDescent="0.2">
      <c r="A1003" s="30"/>
      <c r="B1003" s="41" t="s">
        <v>481</v>
      </c>
      <c r="C1003" s="41"/>
      <c r="D1003" s="41">
        <v>-1</v>
      </c>
      <c r="E1003" s="90">
        <v>0.9</v>
      </c>
      <c r="F1003" s="90"/>
      <c r="G1003" s="90"/>
      <c r="H1003" s="89">
        <f t="shared" si="148"/>
        <v>-0.9</v>
      </c>
      <c r="I1003" s="89"/>
      <c r="J1003" s="108"/>
      <c r="K1003" s="157"/>
      <c r="L1003" s="157"/>
      <c r="M1003" s="158"/>
      <c r="O1003" s="82">
        <f t="shared" si="147"/>
        <v>0</v>
      </c>
    </row>
    <row r="1004" spans="1:15" s="5" customFormat="1" ht="16.149999999999999" customHeight="1" x14ac:dyDescent="0.2">
      <c r="A1004" s="30"/>
      <c r="B1004" s="44" t="s">
        <v>541</v>
      </c>
      <c r="C1004" s="41"/>
      <c r="D1004" s="41">
        <v>2</v>
      </c>
      <c r="E1004" s="109">
        <v>1.9</v>
      </c>
      <c r="F1004" s="109"/>
      <c r="G1004" s="109"/>
      <c r="H1004" s="89">
        <f t="shared" si="148"/>
        <v>3.8</v>
      </c>
      <c r="I1004" s="89"/>
      <c r="K1004" s="157"/>
      <c r="L1004" s="157"/>
      <c r="M1004" s="158"/>
      <c r="O1004" s="82">
        <f t="shared" si="147"/>
        <v>0</v>
      </c>
    </row>
    <row r="1005" spans="1:15" s="5" customFormat="1" ht="16.149999999999999" customHeight="1" x14ac:dyDescent="0.2">
      <c r="A1005" s="30"/>
      <c r="B1005" s="44"/>
      <c r="C1005" s="41"/>
      <c r="D1005" s="41">
        <v>2</v>
      </c>
      <c r="E1005" s="109">
        <v>1.6</v>
      </c>
      <c r="F1005" s="109"/>
      <c r="G1005" s="109"/>
      <c r="H1005" s="89">
        <f t="shared" si="148"/>
        <v>3.2</v>
      </c>
      <c r="I1005" s="89"/>
      <c r="K1005" s="157"/>
      <c r="L1005" s="157"/>
      <c r="M1005" s="158"/>
      <c r="O1005" s="82">
        <f t="shared" si="147"/>
        <v>0</v>
      </c>
    </row>
    <row r="1006" spans="1:15" s="5" customFormat="1" ht="16.149999999999999" customHeight="1" x14ac:dyDescent="0.2">
      <c r="A1006" s="30"/>
      <c r="B1006" s="44" t="s">
        <v>542</v>
      </c>
      <c r="C1006" s="41"/>
      <c r="D1006" s="41">
        <v>2</v>
      </c>
      <c r="E1006" s="109">
        <v>3.1</v>
      </c>
      <c r="F1006" s="109"/>
      <c r="G1006" s="109"/>
      <c r="H1006" s="89">
        <f t="shared" si="148"/>
        <v>6.2</v>
      </c>
      <c r="I1006" s="89"/>
      <c r="K1006" s="157"/>
      <c r="L1006" s="157"/>
      <c r="M1006" s="158"/>
      <c r="O1006" s="82">
        <f t="shared" si="147"/>
        <v>0</v>
      </c>
    </row>
    <row r="1007" spans="1:15" ht="15.95" customHeight="1" x14ac:dyDescent="0.2">
      <c r="A1007" s="30"/>
      <c r="B1007" s="46"/>
      <c r="C1007" s="41"/>
      <c r="D1007" s="41">
        <v>2</v>
      </c>
      <c r="E1007" s="90">
        <v>2.9</v>
      </c>
      <c r="F1007" s="90"/>
      <c r="G1007" s="109"/>
      <c r="H1007" s="89">
        <f t="shared" si="148"/>
        <v>5.8</v>
      </c>
      <c r="I1007" s="90"/>
      <c r="J1007" s="90"/>
      <c r="K1007" s="157"/>
      <c r="L1007" s="157"/>
      <c r="M1007" s="158"/>
      <c r="O1007" s="82">
        <f t="shared" si="147"/>
        <v>0</v>
      </c>
    </row>
    <row r="1008" spans="1:15" s="5" customFormat="1" ht="16.149999999999999" customHeight="1" x14ac:dyDescent="0.2">
      <c r="A1008" s="30"/>
      <c r="B1008" s="110" t="s">
        <v>480</v>
      </c>
      <c r="C1008" s="41"/>
      <c r="D1008" s="41"/>
      <c r="E1008" s="109"/>
      <c r="F1008" s="109"/>
      <c r="G1008" s="109"/>
      <c r="H1008" s="89">
        <f t="shared" si="148"/>
        <v>0</v>
      </c>
      <c r="I1008" s="89"/>
      <c r="K1008" s="157"/>
      <c r="L1008" s="157"/>
      <c r="M1008" s="158"/>
      <c r="O1008" s="82">
        <f t="shared" si="147"/>
        <v>0</v>
      </c>
    </row>
    <row r="1009" spans="1:15" ht="15.95" customHeight="1" x14ac:dyDescent="0.2">
      <c r="A1009" s="30"/>
      <c r="B1009" s="41" t="s">
        <v>481</v>
      </c>
      <c r="C1009" s="41"/>
      <c r="D1009" s="41">
        <v>-1</v>
      </c>
      <c r="E1009" s="90">
        <v>0.9</v>
      </c>
      <c r="F1009" s="90"/>
      <c r="G1009" s="90"/>
      <c r="H1009" s="89">
        <f t="shared" si="148"/>
        <v>-0.9</v>
      </c>
      <c r="I1009" s="89"/>
      <c r="J1009" s="108"/>
      <c r="K1009" s="157"/>
      <c r="L1009" s="157"/>
      <c r="M1009" s="158"/>
      <c r="O1009" s="82">
        <f t="shared" si="147"/>
        <v>0</v>
      </c>
    </row>
    <row r="1010" spans="1:15" ht="15.95" customHeight="1" x14ac:dyDescent="0.2">
      <c r="A1010" s="30"/>
      <c r="B1010" s="41"/>
      <c r="C1010" s="41"/>
      <c r="D1010" s="41"/>
      <c r="E1010" s="90"/>
      <c r="F1010" s="90"/>
      <c r="G1010" s="90"/>
      <c r="H1010" s="89"/>
      <c r="I1010" s="89"/>
      <c r="J1010" s="108"/>
      <c r="K1010" s="157"/>
      <c r="L1010" s="157"/>
      <c r="M1010" s="158"/>
      <c r="O1010" s="82">
        <f t="shared" si="147"/>
        <v>0</v>
      </c>
    </row>
    <row r="1011" spans="1:15" s="5" customFormat="1" ht="16.149999999999999" customHeight="1" x14ac:dyDescent="0.2">
      <c r="A1011" s="30"/>
      <c r="B1011" s="44" t="s">
        <v>548</v>
      </c>
      <c r="C1011" s="41"/>
      <c r="D1011" s="41">
        <v>2</v>
      </c>
      <c r="E1011" s="109">
        <v>1.2</v>
      </c>
      <c r="F1011" s="109"/>
      <c r="G1011" s="109"/>
      <c r="H1011" s="89">
        <f t="shared" ref="H1011:H1024" si="150">PRODUCT(D1011:G1011)</f>
        <v>2.4</v>
      </c>
      <c r="I1011" s="89"/>
      <c r="K1011" s="157"/>
      <c r="L1011" s="157"/>
      <c r="M1011" s="158"/>
      <c r="O1011" s="82">
        <f t="shared" si="147"/>
        <v>0</v>
      </c>
    </row>
    <row r="1012" spans="1:15" ht="15.95" customHeight="1" x14ac:dyDescent="0.2">
      <c r="A1012" s="30"/>
      <c r="B1012" s="46"/>
      <c r="C1012" s="41"/>
      <c r="D1012" s="41">
        <v>2</v>
      </c>
      <c r="E1012" s="90">
        <v>2.85</v>
      </c>
      <c r="F1012" s="90"/>
      <c r="G1012" s="109"/>
      <c r="H1012" s="89">
        <f t="shared" si="150"/>
        <v>5.7</v>
      </c>
      <c r="I1012" s="90"/>
      <c r="J1012" s="90"/>
      <c r="K1012" s="157"/>
      <c r="L1012" s="157"/>
      <c r="M1012" s="158"/>
      <c r="O1012" s="82">
        <f t="shared" si="147"/>
        <v>0</v>
      </c>
    </row>
    <row r="1013" spans="1:15" s="5" customFormat="1" ht="16.149999999999999" customHeight="1" x14ac:dyDescent="0.2">
      <c r="A1013" s="30"/>
      <c r="B1013" s="110" t="s">
        <v>480</v>
      </c>
      <c r="C1013" s="41"/>
      <c r="D1013" s="41"/>
      <c r="E1013" s="109"/>
      <c r="F1013" s="109"/>
      <c r="G1013" s="109"/>
      <c r="H1013" s="89">
        <f t="shared" si="150"/>
        <v>0</v>
      </c>
      <c r="I1013" s="89"/>
      <c r="K1013" s="157"/>
      <c r="L1013" s="157"/>
      <c r="M1013" s="158"/>
      <c r="O1013" s="82">
        <f t="shared" si="147"/>
        <v>0</v>
      </c>
    </row>
    <row r="1014" spans="1:15" ht="15.95" customHeight="1" x14ac:dyDescent="0.2">
      <c r="A1014" s="30"/>
      <c r="B1014" s="41" t="s">
        <v>481</v>
      </c>
      <c r="C1014" s="41"/>
      <c r="D1014" s="41">
        <v>-1</v>
      </c>
      <c r="E1014" s="90">
        <v>0.9</v>
      </c>
      <c r="F1014" s="90"/>
      <c r="G1014" s="90"/>
      <c r="H1014" s="89">
        <f t="shared" si="150"/>
        <v>-0.9</v>
      </c>
      <c r="I1014" s="89"/>
      <c r="J1014" s="108"/>
      <c r="K1014" s="157"/>
      <c r="L1014" s="157"/>
      <c r="M1014" s="158"/>
      <c r="O1014" s="82">
        <f t="shared" si="147"/>
        <v>0</v>
      </c>
    </row>
    <row r="1015" spans="1:15" s="5" customFormat="1" ht="16.149999999999999" customHeight="1" x14ac:dyDescent="0.2">
      <c r="A1015" s="30"/>
      <c r="B1015" s="44" t="s">
        <v>544</v>
      </c>
      <c r="C1015" s="41"/>
      <c r="D1015" s="41">
        <v>2</v>
      </c>
      <c r="E1015" s="109">
        <v>3.92</v>
      </c>
      <c r="F1015" s="109"/>
      <c r="G1015" s="109"/>
      <c r="H1015" s="89">
        <f t="shared" si="150"/>
        <v>7.84</v>
      </c>
      <c r="I1015" s="89"/>
      <c r="K1015" s="157"/>
      <c r="L1015" s="157"/>
      <c r="M1015" s="158"/>
      <c r="O1015" s="82">
        <f t="shared" si="147"/>
        <v>0</v>
      </c>
    </row>
    <row r="1016" spans="1:15" ht="15.95" customHeight="1" x14ac:dyDescent="0.2">
      <c r="A1016" s="30"/>
      <c r="B1016" s="46"/>
      <c r="C1016" s="41"/>
      <c r="D1016" s="41">
        <v>2</v>
      </c>
      <c r="E1016" s="90">
        <v>3.2</v>
      </c>
      <c r="F1016" s="90"/>
      <c r="G1016" s="109"/>
      <c r="H1016" s="89">
        <f t="shared" si="150"/>
        <v>6.4</v>
      </c>
      <c r="I1016" s="90"/>
      <c r="J1016" s="90"/>
      <c r="K1016" s="157"/>
      <c r="L1016" s="157"/>
      <c r="M1016" s="158"/>
      <c r="O1016" s="82">
        <f t="shared" si="147"/>
        <v>0</v>
      </c>
    </row>
    <row r="1017" spans="1:15" ht="15.95" customHeight="1" x14ac:dyDescent="0.2">
      <c r="A1017" s="30"/>
      <c r="B1017" s="46"/>
      <c r="C1017" s="41"/>
      <c r="D1017" s="41">
        <v>2</v>
      </c>
      <c r="E1017" s="90">
        <v>0.75</v>
      </c>
      <c r="F1017" s="90"/>
      <c r="G1017" s="109"/>
      <c r="H1017" s="89">
        <f t="shared" si="150"/>
        <v>1.5</v>
      </c>
      <c r="I1017" s="90"/>
      <c r="J1017" s="90"/>
      <c r="K1017" s="157"/>
      <c r="L1017" s="157"/>
      <c r="M1017" s="158"/>
      <c r="O1017" s="82">
        <f t="shared" si="147"/>
        <v>0</v>
      </c>
    </row>
    <row r="1018" spans="1:15" s="5" customFormat="1" ht="16.149999999999999" customHeight="1" x14ac:dyDescent="0.2">
      <c r="A1018" s="30"/>
      <c r="B1018" s="110" t="s">
        <v>480</v>
      </c>
      <c r="C1018" s="41"/>
      <c r="D1018" s="41"/>
      <c r="E1018" s="109"/>
      <c r="F1018" s="109"/>
      <c r="G1018" s="109"/>
      <c r="H1018" s="89">
        <f t="shared" si="150"/>
        <v>0</v>
      </c>
      <c r="I1018" s="89"/>
      <c r="K1018" s="157"/>
      <c r="L1018" s="157"/>
      <c r="M1018" s="158"/>
      <c r="O1018" s="82">
        <f t="shared" si="147"/>
        <v>0</v>
      </c>
    </row>
    <row r="1019" spans="1:15" ht="15.95" customHeight="1" x14ac:dyDescent="0.2">
      <c r="A1019" s="30"/>
      <c r="B1019" s="41" t="s">
        <v>481</v>
      </c>
      <c r="C1019" s="41"/>
      <c r="D1019" s="41">
        <v>-1</v>
      </c>
      <c r="E1019" s="90">
        <v>1.2</v>
      </c>
      <c r="F1019" s="90"/>
      <c r="G1019" s="90"/>
      <c r="H1019" s="89">
        <f t="shared" si="150"/>
        <v>-1.2</v>
      </c>
      <c r="I1019" s="89"/>
      <c r="J1019" s="108"/>
      <c r="K1019" s="157"/>
      <c r="L1019" s="157"/>
      <c r="M1019" s="158"/>
      <c r="O1019" s="82">
        <f t="shared" si="147"/>
        <v>0</v>
      </c>
    </row>
    <row r="1020" spans="1:15" s="5" customFormat="1" ht="16.149999999999999" customHeight="1" x14ac:dyDescent="0.2">
      <c r="A1020" s="30"/>
      <c r="B1020" s="44" t="s">
        <v>546</v>
      </c>
      <c r="C1020" s="41"/>
      <c r="D1020" s="41">
        <v>2</v>
      </c>
      <c r="E1020" s="109">
        <v>4.0999999999999996</v>
      </c>
      <c r="F1020" s="109"/>
      <c r="G1020" s="109"/>
      <c r="H1020" s="89">
        <f t="shared" si="150"/>
        <v>8.1999999999999993</v>
      </c>
      <c r="I1020" s="89"/>
      <c r="K1020" s="157"/>
      <c r="L1020" s="157"/>
      <c r="M1020" s="158"/>
      <c r="O1020" s="82">
        <f t="shared" si="147"/>
        <v>0</v>
      </c>
    </row>
    <row r="1021" spans="1:15" ht="15.95" customHeight="1" x14ac:dyDescent="0.2">
      <c r="A1021" s="30"/>
      <c r="B1021" s="46"/>
      <c r="C1021" s="41"/>
      <c r="D1021" s="41">
        <v>1</v>
      </c>
      <c r="E1021" s="90">
        <v>3.5</v>
      </c>
      <c r="F1021" s="90"/>
      <c r="G1021" s="109"/>
      <c r="H1021" s="89">
        <f t="shared" si="150"/>
        <v>3.5</v>
      </c>
      <c r="I1021" s="90"/>
      <c r="J1021" s="90"/>
      <c r="K1021" s="157"/>
      <c r="L1021" s="157"/>
      <c r="M1021" s="158"/>
      <c r="O1021" s="82">
        <f t="shared" si="147"/>
        <v>0</v>
      </c>
    </row>
    <row r="1022" spans="1:15" ht="15.95" customHeight="1" x14ac:dyDescent="0.2">
      <c r="A1022" s="30"/>
      <c r="B1022" s="46"/>
      <c r="C1022" s="41"/>
      <c r="D1022" s="41">
        <v>4</v>
      </c>
      <c r="E1022" s="90">
        <v>1.25</v>
      </c>
      <c r="F1022" s="90"/>
      <c r="G1022" s="109"/>
      <c r="H1022" s="89">
        <f t="shared" si="150"/>
        <v>5</v>
      </c>
      <c r="I1022" s="90"/>
      <c r="J1022" s="90"/>
      <c r="K1022" s="157"/>
      <c r="L1022" s="157"/>
      <c r="M1022" s="158"/>
      <c r="O1022" s="82">
        <f t="shared" si="147"/>
        <v>0</v>
      </c>
    </row>
    <row r="1023" spans="1:15" s="5" customFormat="1" ht="16.149999999999999" customHeight="1" x14ac:dyDescent="0.2">
      <c r="A1023" s="30"/>
      <c r="B1023" s="44" t="s">
        <v>496</v>
      </c>
      <c r="C1023" s="41"/>
      <c r="D1023" s="41">
        <v>2</v>
      </c>
      <c r="E1023" s="109">
        <v>1.7</v>
      </c>
      <c r="F1023" s="109"/>
      <c r="G1023" s="109"/>
      <c r="H1023" s="89">
        <f t="shared" si="150"/>
        <v>3.4</v>
      </c>
      <c r="I1023" s="89"/>
      <c r="K1023" s="157"/>
      <c r="L1023" s="157"/>
      <c r="M1023" s="158"/>
      <c r="O1023" s="82">
        <f t="shared" si="147"/>
        <v>0</v>
      </c>
    </row>
    <row r="1024" spans="1:15" s="5" customFormat="1" ht="16.149999999999999" customHeight="1" x14ac:dyDescent="0.2">
      <c r="A1024" s="30"/>
      <c r="B1024" s="44"/>
      <c r="C1024" s="41"/>
      <c r="D1024" s="41">
        <v>2</v>
      </c>
      <c r="E1024" s="109">
        <v>6.75</v>
      </c>
      <c r="F1024" s="109"/>
      <c r="G1024" s="109"/>
      <c r="H1024" s="89">
        <f t="shared" si="150"/>
        <v>13.5</v>
      </c>
      <c r="I1024" s="89"/>
      <c r="K1024" s="157"/>
      <c r="L1024" s="157"/>
      <c r="M1024" s="158"/>
      <c r="O1024" s="82">
        <f t="shared" si="147"/>
        <v>0</v>
      </c>
    </row>
    <row r="1025" spans="1:15" s="5" customFormat="1" ht="16.149999999999999" customHeight="1" x14ac:dyDescent="0.2">
      <c r="A1025" s="30"/>
      <c r="B1025" s="110" t="s">
        <v>480</v>
      </c>
      <c r="C1025" s="41"/>
      <c r="D1025" s="41"/>
      <c r="E1025" s="109"/>
      <c r="F1025" s="109"/>
      <c r="G1025" s="109"/>
      <c r="H1025" s="89"/>
      <c r="I1025" s="89"/>
      <c r="K1025" s="157"/>
      <c r="L1025" s="157"/>
      <c r="M1025" s="158"/>
      <c r="O1025" s="82">
        <f t="shared" si="147"/>
        <v>0</v>
      </c>
    </row>
    <row r="1026" spans="1:15" ht="15.95" customHeight="1" x14ac:dyDescent="0.2">
      <c r="A1026" s="30"/>
      <c r="B1026" s="41" t="s">
        <v>481</v>
      </c>
      <c r="C1026" s="41"/>
      <c r="D1026" s="41">
        <v>-1</v>
      </c>
      <c r="E1026" s="90">
        <v>1.2</v>
      </c>
      <c r="F1026" s="90"/>
      <c r="G1026" s="90"/>
      <c r="H1026" s="89">
        <f t="shared" ref="H1026:H1028" si="151">PRODUCT(D1026:G1026)</f>
        <v>-1.2</v>
      </c>
      <c r="I1026" s="89"/>
      <c r="J1026" s="108"/>
      <c r="K1026" s="157"/>
      <c r="L1026" s="157"/>
      <c r="M1026" s="158"/>
      <c r="O1026" s="82">
        <f t="shared" si="147"/>
        <v>0</v>
      </c>
    </row>
    <row r="1027" spans="1:15" ht="15.95" customHeight="1" x14ac:dyDescent="0.2">
      <c r="A1027" s="30"/>
      <c r="B1027" s="41" t="s">
        <v>481</v>
      </c>
      <c r="C1027" s="41"/>
      <c r="D1027" s="41">
        <v>-3</v>
      </c>
      <c r="E1027" s="90">
        <v>0.9</v>
      </c>
      <c r="F1027" s="90"/>
      <c r="G1027" s="90"/>
      <c r="H1027" s="89">
        <f t="shared" si="151"/>
        <v>-2.7</v>
      </c>
      <c r="I1027" s="89"/>
      <c r="J1027" s="108"/>
      <c r="K1027" s="157"/>
      <c r="L1027" s="157"/>
      <c r="M1027" s="158"/>
      <c r="O1027" s="82">
        <f t="shared" si="147"/>
        <v>0</v>
      </c>
    </row>
    <row r="1028" spans="1:15" ht="15.95" customHeight="1" x14ac:dyDescent="0.2">
      <c r="A1028" s="30"/>
      <c r="B1028" s="41"/>
      <c r="C1028" s="41"/>
      <c r="D1028" s="41">
        <v>-2</v>
      </c>
      <c r="E1028" s="90">
        <v>0.8</v>
      </c>
      <c r="F1028" s="90"/>
      <c r="G1028" s="90"/>
      <c r="H1028" s="89">
        <f t="shared" si="151"/>
        <v>-1.6</v>
      </c>
      <c r="I1028" s="89"/>
      <c r="J1028" s="108"/>
      <c r="K1028" s="157"/>
      <c r="L1028" s="157"/>
      <c r="M1028" s="158"/>
      <c r="O1028" s="82">
        <f t="shared" si="147"/>
        <v>0</v>
      </c>
    </row>
    <row r="1029" spans="1:15" ht="15.95" customHeight="1" x14ac:dyDescent="0.2">
      <c r="A1029" s="30"/>
      <c r="B1029" s="41"/>
      <c r="C1029" s="41"/>
      <c r="D1029" s="41"/>
      <c r="E1029" s="90"/>
      <c r="F1029" s="90"/>
      <c r="G1029" s="90"/>
      <c r="H1029" s="89"/>
      <c r="I1029" s="89">
        <f>SUM(H999:H1028)</f>
        <v>79.72</v>
      </c>
      <c r="J1029" s="108"/>
      <c r="K1029" s="157"/>
      <c r="L1029" s="157"/>
      <c r="M1029" s="158"/>
      <c r="O1029" s="82">
        <f t="shared" si="147"/>
        <v>0</v>
      </c>
    </row>
    <row r="1030" spans="1:15" ht="15.95" customHeight="1" x14ac:dyDescent="0.2">
      <c r="A1030" s="30"/>
      <c r="B1030" s="46"/>
      <c r="C1030" s="41"/>
      <c r="D1030" s="41"/>
      <c r="E1030" s="90"/>
      <c r="F1030" s="90"/>
      <c r="G1030" s="90"/>
      <c r="H1030" s="89">
        <f t="shared" si="148"/>
        <v>0</v>
      </c>
      <c r="I1030" s="90"/>
      <c r="J1030" s="90"/>
      <c r="K1030" s="157"/>
      <c r="L1030" s="157"/>
      <c r="M1030" s="158"/>
      <c r="O1030" s="82">
        <f t="shared" ref="O1030:O1093" si="152">K1030-J1030</f>
        <v>0</v>
      </c>
    </row>
    <row r="1031" spans="1:15" s="5" customFormat="1" ht="16.149999999999999" customHeight="1" x14ac:dyDescent="0.2">
      <c r="A1031" s="30"/>
      <c r="B1031" s="98" t="s">
        <v>466</v>
      </c>
      <c r="C1031" s="32"/>
      <c r="D1031" s="32"/>
      <c r="E1031" s="89"/>
      <c r="F1031" s="89"/>
      <c r="G1031" s="89"/>
      <c r="H1031" s="89">
        <f t="shared" si="148"/>
        <v>0</v>
      </c>
      <c r="I1031" s="89"/>
      <c r="J1031" s="89"/>
      <c r="K1031" s="157"/>
      <c r="L1031" s="157"/>
      <c r="M1031" s="158"/>
      <c r="O1031" s="82">
        <f t="shared" si="152"/>
        <v>0</v>
      </c>
    </row>
    <row r="1032" spans="1:15" ht="15.95" customHeight="1" x14ac:dyDescent="0.2">
      <c r="A1032" s="30"/>
      <c r="B1032" s="46"/>
      <c r="C1032" s="41"/>
      <c r="D1032" s="41"/>
      <c r="E1032" s="90"/>
      <c r="F1032" s="90"/>
      <c r="G1032" s="90"/>
      <c r="H1032" s="89">
        <f t="shared" si="148"/>
        <v>0</v>
      </c>
      <c r="I1032" s="90">
        <f>SUM(H1032:H1032)</f>
        <v>0</v>
      </c>
      <c r="J1032" s="90"/>
      <c r="K1032" s="157"/>
      <c r="L1032" s="157"/>
      <c r="M1032" s="158"/>
      <c r="O1032" s="82">
        <f t="shared" si="152"/>
        <v>0</v>
      </c>
    </row>
    <row r="1033" spans="1:15" s="5" customFormat="1" ht="16.149999999999999" customHeight="1" x14ac:dyDescent="0.2">
      <c r="A1033" s="30"/>
      <c r="B1033" s="98" t="s">
        <v>467</v>
      </c>
      <c r="C1033" s="32"/>
      <c r="D1033" s="32"/>
      <c r="E1033" s="89"/>
      <c r="F1033" s="89"/>
      <c r="G1033" s="89"/>
      <c r="H1033" s="89">
        <f t="shared" si="148"/>
        <v>0</v>
      </c>
      <c r="I1033" s="89"/>
      <c r="J1033" s="89"/>
      <c r="K1033" s="157"/>
      <c r="L1033" s="157"/>
      <c r="M1033" s="158"/>
      <c r="O1033" s="82">
        <f t="shared" si="152"/>
        <v>0</v>
      </c>
    </row>
    <row r="1034" spans="1:15" ht="15.95" customHeight="1" x14ac:dyDescent="0.2">
      <c r="A1034" s="30"/>
      <c r="B1034" s="46"/>
      <c r="C1034" s="41"/>
      <c r="D1034" s="41">
        <v>2</v>
      </c>
      <c r="E1034" s="90">
        <v>2</v>
      </c>
      <c r="F1034" s="90"/>
      <c r="G1034" s="109"/>
      <c r="H1034" s="89">
        <f t="shared" si="148"/>
        <v>4</v>
      </c>
      <c r="I1034" s="90"/>
      <c r="J1034" s="90"/>
      <c r="K1034" s="157"/>
      <c r="L1034" s="157"/>
      <c r="M1034" s="158"/>
      <c r="O1034" s="82">
        <f t="shared" si="152"/>
        <v>0</v>
      </c>
    </row>
    <row r="1035" spans="1:15" ht="15.95" customHeight="1" x14ac:dyDescent="0.2">
      <c r="A1035" s="30"/>
      <c r="B1035" s="46"/>
      <c r="C1035" s="41"/>
      <c r="D1035" s="41">
        <v>2</v>
      </c>
      <c r="E1035" s="90">
        <v>3</v>
      </c>
      <c r="F1035" s="90"/>
      <c r="G1035" s="109"/>
      <c r="H1035" s="89">
        <f t="shared" si="148"/>
        <v>6</v>
      </c>
      <c r="I1035" s="90"/>
      <c r="J1035" s="108"/>
      <c r="K1035" s="157"/>
      <c r="L1035" s="157"/>
      <c r="M1035" s="158"/>
      <c r="O1035" s="82">
        <f t="shared" si="152"/>
        <v>0</v>
      </c>
    </row>
    <row r="1036" spans="1:15" s="5" customFormat="1" ht="16.149999999999999" customHeight="1" x14ac:dyDescent="0.2">
      <c r="A1036" s="30"/>
      <c r="B1036" s="110" t="s">
        <v>480</v>
      </c>
      <c r="C1036" s="41"/>
      <c r="D1036" s="41"/>
      <c r="E1036" s="109"/>
      <c r="F1036" s="109"/>
      <c r="G1036" s="109"/>
      <c r="H1036" s="89">
        <f t="shared" si="148"/>
        <v>0</v>
      </c>
      <c r="I1036" s="89"/>
      <c r="K1036" s="157"/>
      <c r="L1036" s="157"/>
      <c r="M1036" s="158"/>
      <c r="O1036" s="82">
        <f t="shared" si="152"/>
        <v>0</v>
      </c>
    </row>
    <row r="1037" spans="1:15" ht="15.95" customHeight="1" x14ac:dyDescent="0.2">
      <c r="A1037" s="30"/>
      <c r="B1037" s="41" t="s">
        <v>481</v>
      </c>
      <c r="C1037" s="41"/>
      <c r="D1037" s="41">
        <v>-1</v>
      </c>
      <c r="E1037" s="90">
        <v>0.9</v>
      </c>
      <c r="F1037" s="90"/>
      <c r="G1037" s="90"/>
      <c r="H1037" s="89">
        <f t="shared" si="148"/>
        <v>-0.9</v>
      </c>
      <c r="I1037" s="89"/>
      <c r="J1037" s="108"/>
      <c r="K1037" s="157"/>
      <c r="L1037" s="157"/>
      <c r="M1037" s="158"/>
      <c r="O1037" s="82">
        <f t="shared" si="152"/>
        <v>0</v>
      </c>
    </row>
    <row r="1038" spans="1:15" ht="15.95" customHeight="1" x14ac:dyDescent="0.2">
      <c r="A1038" s="40"/>
      <c r="B1038" s="46"/>
      <c r="C1038" s="41"/>
      <c r="D1038" s="41"/>
      <c r="E1038" s="90"/>
      <c r="F1038" s="90"/>
      <c r="G1038" s="90"/>
      <c r="H1038" s="90"/>
      <c r="I1038" s="90">
        <f>SUM(H1034:H1037)</f>
        <v>9.1</v>
      </c>
      <c r="J1038" s="90"/>
      <c r="K1038" s="163"/>
      <c r="L1038" s="163"/>
      <c r="M1038" s="158"/>
      <c r="O1038" s="82">
        <f t="shared" si="152"/>
        <v>0</v>
      </c>
    </row>
    <row r="1039" spans="1:15" ht="15.95" customHeight="1" x14ac:dyDescent="0.2">
      <c r="A1039" s="40"/>
      <c r="B1039" s="117"/>
      <c r="C1039" s="41"/>
      <c r="D1039" s="41"/>
      <c r="E1039" s="90"/>
      <c r="F1039" s="90"/>
      <c r="G1039" s="90"/>
      <c r="H1039" s="90"/>
      <c r="I1039" s="90"/>
      <c r="J1039" s="90"/>
      <c r="K1039" s="163"/>
      <c r="L1039" s="163"/>
      <c r="M1039" s="158"/>
      <c r="O1039" s="82">
        <f t="shared" si="152"/>
        <v>0</v>
      </c>
    </row>
    <row r="1040" spans="1:15" ht="15.95" customHeight="1" x14ac:dyDescent="0.2">
      <c r="A1040" s="40"/>
      <c r="B1040" s="117"/>
      <c r="C1040" s="41"/>
      <c r="D1040" s="41"/>
      <c r="E1040" s="90"/>
      <c r="F1040" s="90"/>
      <c r="G1040" s="90"/>
      <c r="H1040" s="90"/>
      <c r="I1040" s="90"/>
      <c r="J1040" s="90"/>
      <c r="K1040" s="163"/>
      <c r="L1040" s="163"/>
      <c r="M1040" s="158"/>
      <c r="O1040" s="82">
        <f t="shared" si="152"/>
        <v>0</v>
      </c>
    </row>
    <row r="1041" spans="1:15" ht="15.95" customHeight="1" x14ac:dyDescent="0.2">
      <c r="A1041" s="40" t="s">
        <v>200</v>
      </c>
      <c r="B1041" s="46" t="s">
        <v>512</v>
      </c>
      <c r="C1041" s="41" t="s">
        <v>4</v>
      </c>
      <c r="D1041" s="41"/>
      <c r="E1041" s="90"/>
      <c r="F1041" s="90"/>
      <c r="G1041" s="90"/>
      <c r="H1041" s="90"/>
      <c r="I1041" s="90"/>
      <c r="J1041" s="90">
        <f>SUM(I1042:I1063)</f>
        <v>183.89000000000001</v>
      </c>
      <c r="K1041" s="163">
        <v>204</v>
      </c>
      <c r="L1041" s="163">
        <v>90</v>
      </c>
      <c r="M1041" s="158">
        <f t="shared" si="137"/>
        <v>18360</v>
      </c>
      <c r="O1041" s="82">
        <f t="shared" si="152"/>
        <v>20.109999999999985</v>
      </c>
    </row>
    <row r="1042" spans="1:15" ht="15.95" customHeight="1" x14ac:dyDescent="0.2">
      <c r="A1042" s="40"/>
      <c r="B1042" s="41" t="s">
        <v>502</v>
      </c>
      <c r="C1042" s="41"/>
      <c r="D1042" s="41"/>
      <c r="E1042" s="90"/>
      <c r="F1042" s="90"/>
      <c r="G1042" s="90"/>
      <c r="H1042" s="89">
        <f t="shared" ref="H1042:I1058" si="153">PRODUCT(D1042:G1042)</f>
        <v>0</v>
      </c>
      <c r="I1042" s="90"/>
      <c r="J1042" s="108"/>
      <c r="K1042" s="163"/>
      <c r="L1042" s="163"/>
      <c r="M1042" s="158"/>
      <c r="O1042" s="82">
        <f t="shared" si="152"/>
        <v>0</v>
      </c>
    </row>
    <row r="1043" spans="1:15" s="5" customFormat="1" ht="16.149999999999999" customHeight="1" x14ac:dyDescent="0.2">
      <c r="A1043" s="30"/>
      <c r="B1043" s="98" t="s">
        <v>464</v>
      </c>
      <c r="C1043" s="32"/>
      <c r="D1043" s="32"/>
      <c r="E1043" s="89"/>
      <c r="F1043" s="89"/>
      <c r="G1043" s="89"/>
      <c r="H1043" s="89">
        <f t="shared" si="153"/>
        <v>0</v>
      </c>
      <c r="I1043" s="89"/>
      <c r="K1043" s="157"/>
      <c r="L1043" s="157"/>
      <c r="M1043" s="158"/>
      <c r="O1043" s="82">
        <f t="shared" si="152"/>
        <v>0</v>
      </c>
    </row>
    <row r="1044" spans="1:15" s="5" customFormat="1" ht="16.149999999999999" customHeight="1" x14ac:dyDescent="0.2">
      <c r="A1044" s="30"/>
      <c r="B1044" s="105" t="s">
        <v>474</v>
      </c>
      <c r="C1044" s="32"/>
      <c r="D1044" s="32"/>
      <c r="E1044" s="89"/>
      <c r="F1044" s="89"/>
      <c r="G1044" s="89"/>
      <c r="H1044" s="89">
        <f t="shared" si="153"/>
        <v>0</v>
      </c>
      <c r="I1044" s="89"/>
      <c r="K1044" s="157"/>
      <c r="L1044" s="157"/>
      <c r="M1044" s="158"/>
      <c r="O1044" s="82">
        <f t="shared" si="152"/>
        <v>0</v>
      </c>
    </row>
    <row r="1045" spans="1:15" s="5" customFormat="1" ht="16.149999999999999" customHeight="1" x14ac:dyDescent="0.2">
      <c r="A1045" s="30"/>
      <c r="B1045" s="44" t="s">
        <v>495</v>
      </c>
      <c r="C1045" s="41"/>
      <c r="D1045" s="41">
        <v>4</v>
      </c>
      <c r="E1045" s="109">
        <v>4</v>
      </c>
      <c r="F1045" s="109"/>
      <c r="G1045" s="109">
        <v>1</v>
      </c>
      <c r="H1045" s="89">
        <f t="shared" si="153"/>
        <v>16</v>
      </c>
      <c r="I1045" s="89"/>
      <c r="K1045" s="157"/>
      <c r="L1045" s="157"/>
      <c r="M1045" s="158"/>
      <c r="O1045" s="82">
        <f t="shared" si="152"/>
        <v>0</v>
      </c>
    </row>
    <row r="1046" spans="1:15" s="5" customFormat="1" ht="16.149999999999999" customHeight="1" x14ac:dyDescent="0.2">
      <c r="A1046" s="30"/>
      <c r="B1046" s="44"/>
      <c r="C1046" s="41"/>
      <c r="D1046" s="41">
        <v>2</v>
      </c>
      <c r="E1046" s="109">
        <v>3.4</v>
      </c>
      <c r="F1046" s="109"/>
      <c r="G1046" s="109">
        <v>1</v>
      </c>
      <c r="H1046" s="89">
        <f t="shared" si="153"/>
        <v>6.8</v>
      </c>
      <c r="I1046" s="89"/>
      <c r="K1046" s="157"/>
      <c r="L1046" s="157"/>
      <c r="M1046" s="158"/>
      <c r="O1046" s="82">
        <f t="shared" si="152"/>
        <v>0</v>
      </c>
    </row>
    <row r="1047" spans="1:15" s="5" customFormat="1" ht="16.149999999999999" customHeight="1" x14ac:dyDescent="0.2">
      <c r="A1047" s="30"/>
      <c r="B1047" s="44"/>
      <c r="C1047" s="41"/>
      <c r="D1047" s="41">
        <v>4</v>
      </c>
      <c r="E1047" s="109">
        <v>2.5</v>
      </c>
      <c r="F1047" s="109"/>
      <c r="G1047" s="109">
        <v>1</v>
      </c>
      <c r="H1047" s="89">
        <f t="shared" si="153"/>
        <v>10</v>
      </c>
      <c r="I1047" s="89"/>
      <c r="K1047" s="157"/>
      <c r="L1047" s="157"/>
      <c r="M1047" s="158"/>
      <c r="O1047" s="82">
        <f t="shared" si="152"/>
        <v>0</v>
      </c>
    </row>
    <row r="1048" spans="1:15" s="5" customFormat="1" ht="16.149999999999999" customHeight="1" x14ac:dyDescent="0.2">
      <c r="A1048" s="30"/>
      <c r="B1048" s="44" t="s">
        <v>497</v>
      </c>
      <c r="C1048" s="41"/>
      <c r="D1048" s="41">
        <v>1</v>
      </c>
      <c r="E1048" s="109">
        <v>34.200000000000003</v>
      </c>
      <c r="F1048" s="109"/>
      <c r="G1048" s="109">
        <v>1</v>
      </c>
      <c r="H1048" s="89">
        <f t="shared" si="153"/>
        <v>34.200000000000003</v>
      </c>
      <c r="I1048" s="89"/>
      <c r="K1048" s="157"/>
      <c r="L1048" s="157"/>
      <c r="M1048" s="158"/>
      <c r="O1048" s="82">
        <f t="shared" si="152"/>
        <v>0</v>
      </c>
    </row>
    <row r="1049" spans="1:15" s="5" customFormat="1" ht="16.149999999999999" customHeight="1" x14ac:dyDescent="0.2">
      <c r="A1049" s="30"/>
      <c r="B1049" s="44"/>
      <c r="C1049" s="41"/>
      <c r="D1049" s="41">
        <f>10*4</f>
        <v>40</v>
      </c>
      <c r="E1049" s="109">
        <v>0.3</v>
      </c>
      <c r="F1049" s="109"/>
      <c r="G1049" s="109">
        <v>1</v>
      </c>
      <c r="H1049" s="89">
        <f t="shared" si="153"/>
        <v>12</v>
      </c>
      <c r="I1049" s="89"/>
      <c r="K1049" s="157"/>
      <c r="L1049" s="157"/>
      <c r="M1049" s="158"/>
      <c r="O1049" s="82">
        <f t="shared" si="152"/>
        <v>0</v>
      </c>
    </row>
    <row r="1050" spans="1:15" s="5" customFormat="1" ht="16.149999999999999" customHeight="1" x14ac:dyDescent="0.2">
      <c r="A1050" s="30"/>
      <c r="B1050" s="110" t="s">
        <v>480</v>
      </c>
      <c r="C1050" s="41"/>
      <c r="D1050" s="41"/>
      <c r="E1050" s="109"/>
      <c r="F1050" s="109"/>
      <c r="G1050" s="109"/>
      <c r="H1050" s="89">
        <f t="shared" si="153"/>
        <v>0</v>
      </c>
      <c r="I1050" s="89"/>
      <c r="K1050" s="157"/>
      <c r="L1050" s="157"/>
      <c r="M1050" s="158"/>
      <c r="O1050" s="82">
        <f t="shared" si="152"/>
        <v>0</v>
      </c>
    </row>
    <row r="1051" spans="1:15" ht="15.95" customHeight="1" x14ac:dyDescent="0.2">
      <c r="A1051" s="30"/>
      <c r="B1051" s="41" t="s">
        <v>481</v>
      </c>
      <c r="C1051" s="41"/>
      <c r="D1051" s="41">
        <v>-5</v>
      </c>
      <c r="E1051" s="90">
        <v>0.9</v>
      </c>
      <c r="F1051" s="90"/>
      <c r="G1051" s="109">
        <v>1</v>
      </c>
      <c r="H1051" s="89">
        <f t="shared" si="153"/>
        <v>-4.5</v>
      </c>
      <c r="I1051" s="89"/>
      <c r="J1051" s="108"/>
      <c r="K1051" s="157"/>
      <c r="L1051" s="157"/>
      <c r="M1051" s="158"/>
      <c r="O1051" s="82">
        <f t="shared" si="152"/>
        <v>0</v>
      </c>
    </row>
    <row r="1052" spans="1:15" s="5" customFormat="1" ht="16.149999999999999" customHeight="1" x14ac:dyDescent="0.2">
      <c r="A1052" s="30"/>
      <c r="B1052" s="44" t="s">
        <v>547</v>
      </c>
      <c r="C1052" s="41"/>
      <c r="D1052" s="41">
        <v>1</v>
      </c>
      <c r="E1052" s="109">
        <v>9.0500000000000007</v>
      </c>
      <c r="F1052" s="109"/>
      <c r="G1052" s="109">
        <v>1</v>
      </c>
      <c r="H1052" s="89">
        <f t="shared" ref="H1052" si="154">PRODUCT(D1052:G1052)</f>
        <v>9.0500000000000007</v>
      </c>
      <c r="I1052" s="89"/>
      <c r="K1052" s="157"/>
      <c r="L1052" s="157"/>
      <c r="M1052" s="158"/>
      <c r="O1052" s="82">
        <f t="shared" si="152"/>
        <v>0</v>
      </c>
    </row>
    <row r="1053" spans="1:15" ht="15.95" customHeight="1" x14ac:dyDescent="0.2">
      <c r="A1053" s="30"/>
      <c r="B1053" s="46"/>
      <c r="C1053" s="41"/>
      <c r="D1053" s="41"/>
      <c r="E1053" s="90"/>
      <c r="F1053" s="90"/>
      <c r="G1053" s="90"/>
      <c r="H1053" s="89">
        <f t="shared" si="153"/>
        <v>0</v>
      </c>
      <c r="I1053" s="89"/>
      <c r="J1053" s="108"/>
      <c r="K1053" s="157"/>
      <c r="L1053" s="157"/>
      <c r="M1053" s="158"/>
      <c r="O1053" s="82">
        <f t="shared" si="152"/>
        <v>0</v>
      </c>
    </row>
    <row r="1054" spans="1:15" ht="15.95" customHeight="1" x14ac:dyDescent="0.2">
      <c r="A1054" s="30"/>
      <c r="B1054" s="105" t="s">
        <v>475</v>
      </c>
      <c r="C1054" s="41"/>
      <c r="D1054" s="41"/>
      <c r="E1054" s="90"/>
      <c r="F1054" s="90"/>
      <c r="G1054" s="90"/>
      <c r="H1054" s="89">
        <f t="shared" si="153"/>
        <v>0</v>
      </c>
      <c r="I1054" s="89">
        <f t="shared" si="153"/>
        <v>0</v>
      </c>
      <c r="J1054" s="90"/>
      <c r="K1054" s="157"/>
      <c r="L1054" s="157"/>
      <c r="M1054" s="158"/>
      <c r="O1054" s="82">
        <f t="shared" si="152"/>
        <v>0</v>
      </c>
    </row>
    <row r="1055" spans="1:15" s="5" customFormat="1" ht="16.149999999999999" customHeight="1" x14ac:dyDescent="0.2">
      <c r="A1055" s="30"/>
      <c r="B1055" s="44" t="s">
        <v>495</v>
      </c>
      <c r="C1055" s="41"/>
      <c r="D1055" s="41">
        <v>4</v>
      </c>
      <c r="E1055" s="109">
        <v>4</v>
      </c>
      <c r="F1055" s="109"/>
      <c r="G1055" s="109">
        <v>1</v>
      </c>
      <c r="H1055" s="89">
        <f t="shared" si="153"/>
        <v>16</v>
      </c>
      <c r="I1055" s="89"/>
      <c r="K1055" s="157"/>
      <c r="L1055" s="157"/>
      <c r="M1055" s="158"/>
      <c r="O1055" s="82">
        <f t="shared" si="152"/>
        <v>0</v>
      </c>
    </row>
    <row r="1056" spans="1:15" s="5" customFormat="1" ht="16.149999999999999" customHeight="1" x14ac:dyDescent="0.2">
      <c r="A1056" s="30"/>
      <c r="B1056" s="44"/>
      <c r="C1056" s="41"/>
      <c r="D1056" s="41">
        <v>2</v>
      </c>
      <c r="E1056" s="109">
        <v>3.4</v>
      </c>
      <c r="F1056" s="109"/>
      <c r="G1056" s="109">
        <v>1</v>
      </c>
      <c r="H1056" s="89">
        <f t="shared" si="153"/>
        <v>6.8</v>
      </c>
      <c r="I1056" s="89"/>
      <c r="K1056" s="157"/>
      <c r="L1056" s="157"/>
      <c r="M1056" s="158"/>
      <c r="O1056" s="82">
        <f t="shared" si="152"/>
        <v>0</v>
      </c>
    </row>
    <row r="1057" spans="1:15" s="5" customFormat="1" ht="16.149999999999999" customHeight="1" x14ac:dyDescent="0.2">
      <c r="A1057" s="30"/>
      <c r="B1057" s="44"/>
      <c r="C1057" s="41"/>
      <c r="D1057" s="41">
        <v>2</v>
      </c>
      <c r="E1057" s="109">
        <v>1.8</v>
      </c>
      <c r="F1057" s="109"/>
      <c r="G1057" s="109">
        <v>1</v>
      </c>
      <c r="H1057" s="89">
        <f t="shared" si="153"/>
        <v>3.6</v>
      </c>
      <c r="I1057" s="89"/>
      <c r="K1057" s="157"/>
      <c r="L1057" s="157"/>
      <c r="M1057" s="158"/>
      <c r="O1057" s="82">
        <f t="shared" si="152"/>
        <v>0</v>
      </c>
    </row>
    <row r="1058" spans="1:15" s="5" customFormat="1" ht="16.149999999999999" customHeight="1" x14ac:dyDescent="0.2">
      <c r="A1058" s="30"/>
      <c r="B1058" s="44" t="s">
        <v>497</v>
      </c>
      <c r="C1058" s="41"/>
      <c r="D1058" s="41">
        <v>2</v>
      </c>
      <c r="E1058" s="109">
        <v>34.200000000000003</v>
      </c>
      <c r="F1058" s="109"/>
      <c r="G1058" s="109">
        <v>1.1000000000000001</v>
      </c>
      <c r="H1058" s="89">
        <f t="shared" si="153"/>
        <v>75.240000000000009</v>
      </c>
      <c r="I1058" s="89"/>
      <c r="K1058" s="157"/>
      <c r="L1058" s="157"/>
      <c r="M1058" s="158"/>
      <c r="O1058" s="82">
        <f t="shared" si="152"/>
        <v>0</v>
      </c>
    </row>
    <row r="1059" spans="1:15" s="5" customFormat="1" ht="16.149999999999999" customHeight="1" x14ac:dyDescent="0.2">
      <c r="A1059" s="30"/>
      <c r="B1059" s="44"/>
      <c r="C1059" s="41"/>
      <c r="D1059" s="41">
        <v>2</v>
      </c>
      <c r="E1059" s="109">
        <v>2</v>
      </c>
      <c r="F1059" s="109"/>
      <c r="G1059" s="109">
        <v>1.2</v>
      </c>
      <c r="H1059" s="89">
        <f t="shared" ref="H1059:H1062" si="155">PRODUCT(D1059:G1059)</f>
        <v>4.8</v>
      </c>
      <c r="I1059" s="89"/>
      <c r="K1059" s="157"/>
      <c r="L1059" s="157"/>
      <c r="M1059" s="158"/>
      <c r="O1059" s="82">
        <f t="shared" si="152"/>
        <v>0</v>
      </c>
    </row>
    <row r="1060" spans="1:15" s="5" customFormat="1" ht="16.149999999999999" customHeight="1" x14ac:dyDescent="0.2">
      <c r="A1060" s="30"/>
      <c r="B1060" s="110" t="s">
        <v>480</v>
      </c>
      <c r="C1060" s="41"/>
      <c r="D1060" s="41"/>
      <c r="E1060" s="109"/>
      <c r="F1060" s="109"/>
      <c r="G1060" s="109"/>
      <c r="H1060" s="89">
        <f t="shared" si="155"/>
        <v>0</v>
      </c>
      <c r="I1060" s="89"/>
      <c r="K1060" s="157"/>
      <c r="L1060" s="157"/>
      <c r="M1060" s="158"/>
      <c r="O1060" s="82">
        <f t="shared" si="152"/>
        <v>0</v>
      </c>
    </row>
    <row r="1061" spans="1:15" ht="15.95" customHeight="1" x14ac:dyDescent="0.2">
      <c r="A1061" s="30"/>
      <c r="B1061" s="41" t="s">
        <v>481</v>
      </c>
      <c r="C1061" s="41"/>
      <c r="D1061" s="41">
        <v>-5</v>
      </c>
      <c r="E1061" s="90">
        <v>0.9</v>
      </c>
      <c r="F1061" s="90"/>
      <c r="G1061" s="109">
        <v>1</v>
      </c>
      <c r="H1061" s="89">
        <f t="shared" si="155"/>
        <v>-4.5</v>
      </c>
      <c r="I1061" s="89"/>
      <c r="J1061" s="108"/>
      <c r="K1061" s="157"/>
      <c r="L1061" s="157"/>
      <c r="M1061" s="158"/>
      <c r="O1061" s="82">
        <f t="shared" si="152"/>
        <v>0</v>
      </c>
    </row>
    <row r="1062" spans="1:15" ht="15.95" customHeight="1" x14ac:dyDescent="0.2">
      <c r="A1062" s="30"/>
      <c r="B1062" s="41" t="s">
        <v>425</v>
      </c>
      <c r="C1062" s="41"/>
      <c r="D1062" s="41">
        <v>-1</v>
      </c>
      <c r="E1062" s="90">
        <v>1.6</v>
      </c>
      <c r="F1062" s="90"/>
      <c r="G1062" s="109">
        <v>1</v>
      </c>
      <c r="H1062" s="89">
        <f t="shared" si="155"/>
        <v>-1.6</v>
      </c>
      <c r="I1062" s="89"/>
      <c r="J1062" s="108"/>
      <c r="K1062" s="157"/>
      <c r="L1062" s="157"/>
      <c r="M1062" s="158"/>
      <c r="O1062" s="82">
        <f t="shared" si="152"/>
        <v>0</v>
      </c>
    </row>
    <row r="1063" spans="1:15" ht="15.95" customHeight="1" x14ac:dyDescent="0.2">
      <c r="A1063" s="30"/>
      <c r="B1063" s="46"/>
      <c r="C1063" s="41"/>
      <c r="D1063" s="41"/>
      <c r="E1063" s="90"/>
      <c r="F1063" s="90"/>
      <c r="G1063" s="90"/>
      <c r="H1063" s="89"/>
      <c r="I1063" s="89">
        <f>SUM(H1044:H1062)</f>
        <v>183.89000000000001</v>
      </c>
      <c r="J1063" s="90"/>
      <c r="K1063" s="157"/>
      <c r="L1063" s="157"/>
      <c r="M1063" s="158"/>
      <c r="O1063" s="82">
        <f t="shared" si="152"/>
        <v>0</v>
      </c>
    </row>
    <row r="1064" spans="1:15" ht="15.95" customHeight="1" x14ac:dyDescent="0.2">
      <c r="A1064" s="40"/>
      <c r="B1064" s="46"/>
      <c r="C1064" s="41"/>
      <c r="D1064" s="41"/>
      <c r="E1064" s="90"/>
      <c r="F1064" s="90"/>
      <c r="G1064" s="90"/>
      <c r="H1064" s="90"/>
      <c r="I1064" s="90"/>
      <c r="J1064" s="90"/>
      <c r="K1064" s="163"/>
      <c r="L1064" s="163"/>
      <c r="M1064" s="158"/>
      <c r="O1064" s="82">
        <f t="shared" si="152"/>
        <v>0</v>
      </c>
    </row>
    <row r="1065" spans="1:15" ht="18" customHeight="1" x14ac:dyDescent="0.2">
      <c r="A1065" s="40" t="s">
        <v>339</v>
      </c>
      <c r="B1065" s="54" t="s">
        <v>513</v>
      </c>
      <c r="C1065" s="41" t="s">
        <v>1</v>
      </c>
      <c r="D1065" s="41"/>
      <c r="E1065" s="90"/>
      <c r="F1065" s="90"/>
      <c r="G1065" s="90"/>
      <c r="H1065" s="90"/>
      <c r="I1065" s="90"/>
      <c r="J1065" s="90">
        <f>SUM(I1067:I1077)</f>
        <v>191.35</v>
      </c>
      <c r="K1065" s="163">
        <v>192</v>
      </c>
      <c r="L1065" s="163">
        <v>120</v>
      </c>
      <c r="M1065" s="158">
        <f t="shared" si="137"/>
        <v>23040</v>
      </c>
      <c r="O1065" s="82">
        <f t="shared" si="152"/>
        <v>0.65000000000000568</v>
      </c>
    </row>
    <row r="1066" spans="1:15" s="5" customFormat="1" ht="16.149999999999999" customHeight="1" x14ac:dyDescent="0.2">
      <c r="A1066" s="30"/>
      <c r="B1066" s="98" t="s">
        <v>464</v>
      </c>
      <c r="C1066" s="32"/>
      <c r="D1066" s="32"/>
      <c r="E1066" s="89"/>
      <c r="F1066" s="89"/>
      <c r="G1066" s="89"/>
      <c r="H1066" s="89"/>
      <c r="I1066" s="89"/>
      <c r="K1066" s="157"/>
      <c r="L1066" s="157"/>
      <c r="M1066" s="158"/>
      <c r="O1066" s="82">
        <f t="shared" si="152"/>
        <v>0</v>
      </c>
    </row>
    <row r="1067" spans="1:15" s="5" customFormat="1" ht="16.149999999999999" customHeight="1" x14ac:dyDescent="0.2">
      <c r="A1067" s="30"/>
      <c r="B1067" s="105" t="s">
        <v>474</v>
      </c>
      <c r="C1067" s="32"/>
      <c r="D1067" s="32"/>
      <c r="E1067" s="89"/>
      <c r="F1067" s="89"/>
      <c r="G1067" s="89"/>
      <c r="H1067" s="89">
        <f t="shared" ref="H1067:H1068" si="156">PRODUCT(D1067:G1067)</f>
        <v>0</v>
      </c>
      <c r="I1067" s="89"/>
      <c r="K1067" s="157"/>
      <c r="L1067" s="157"/>
      <c r="M1067" s="158"/>
      <c r="O1067" s="82">
        <f t="shared" si="152"/>
        <v>0</v>
      </c>
    </row>
    <row r="1068" spans="1:15" s="5" customFormat="1" ht="16.149999999999999" customHeight="1" x14ac:dyDescent="0.2">
      <c r="A1068" s="30"/>
      <c r="B1068" s="44" t="s">
        <v>495</v>
      </c>
      <c r="C1068" s="41"/>
      <c r="D1068" s="41">
        <v>40</v>
      </c>
      <c r="E1068" s="109">
        <v>1.6</v>
      </c>
      <c r="F1068" s="109"/>
      <c r="G1068" s="109"/>
      <c r="H1068" s="89">
        <f t="shared" si="156"/>
        <v>64</v>
      </c>
      <c r="I1068" s="89"/>
      <c r="K1068" s="157"/>
      <c r="L1068" s="157"/>
      <c r="M1068" s="158"/>
      <c r="O1068" s="82">
        <f t="shared" si="152"/>
        <v>0</v>
      </c>
    </row>
    <row r="1069" spans="1:15" s="5" customFormat="1" ht="16.149999999999999" customHeight="1" x14ac:dyDescent="0.2">
      <c r="A1069" s="30"/>
      <c r="B1069" s="44" t="s">
        <v>554</v>
      </c>
      <c r="C1069" s="41"/>
      <c r="D1069" s="41">
        <v>3</v>
      </c>
      <c r="E1069" s="109">
        <f>43.7-3.8*2</f>
        <v>36.1</v>
      </c>
      <c r="F1069" s="109"/>
      <c r="G1069" s="109"/>
      <c r="H1069" s="89">
        <f t="shared" ref="H1069" si="157">PRODUCT(D1069:G1069)</f>
        <v>108.30000000000001</v>
      </c>
      <c r="I1069" s="89"/>
      <c r="K1069" s="157"/>
      <c r="L1069" s="157"/>
      <c r="M1069" s="158"/>
      <c r="O1069" s="82">
        <f t="shared" si="152"/>
        <v>0</v>
      </c>
    </row>
    <row r="1070" spans="1:15" ht="18" customHeight="1" x14ac:dyDescent="0.2">
      <c r="A1070" s="40"/>
      <c r="B1070" s="54"/>
      <c r="C1070" s="41"/>
      <c r="D1070" s="41"/>
      <c r="E1070" s="90"/>
      <c r="F1070" s="90"/>
      <c r="G1070" s="90"/>
      <c r="H1070" s="90"/>
      <c r="I1070" s="90">
        <f>SUM(H1067:H1070)</f>
        <v>172.3</v>
      </c>
      <c r="J1070" s="90"/>
      <c r="K1070" s="163"/>
      <c r="L1070" s="163"/>
      <c r="M1070" s="158"/>
      <c r="O1070" s="82">
        <f t="shared" si="152"/>
        <v>0</v>
      </c>
    </row>
    <row r="1071" spans="1:15" s="5" customFormat="1" ht="16.149999999999999" customHeight="1" x14ac:dyDescent="0.2">
      <c r="A1071" s="30"/>
      <c r="B1071" s="98" t="s">
        <v>465</v>
      </c>
      <c r="C1071" s="32"/>
      <c r="D1071" s="32"/>
      <c r="E1071" s="89"/>
      <c r="F1071" s="89"/>
      <c r="G1071" s="89"/>
      <c r="H1071" s="89">
        <f t="shared" ref="H1071:H1072" si="158">PRODUCT(D1071:G1071)</f>
        <v>0</v>
      </c>
      <c r="I1071" s="89"/>
      <c r="J1071" s="89"/>
      <c r="K1071" s="157"/>
      <c r="L1071" s="157"/>
      <c r="M1071" s="158"/>
      <c r="O1071" s="82">
        <f t="shared" si="152"/>
        <v>0</v>
      </c>
    </row>
    <row r="1072" spans="1:15" s="5" customFormat="1" ht="16.149999999999999" customHeight="1" x14ac:dyDescent="0.2">
      <c r="A1072" s="30"/>
      <c r="B1072" s="44" t="s">
        <v>554</v>
      </c>
      <c r="C1072" s="41"/>
      <c r="D1072" s="41">
        <v>3</v>
      </c>
      <c r="E1072" s="109">
        <f>2.3+0.55+0.3</f>
        <v>3.1499999999999995</v>
      </c>
      <c r="F1072" s="109"/>
      <c r="G1072" s="109"/>
      <c r="H1072" s="89">
        <f t="shared" si="158"/>
        <v>9.4499999999999993</v>
      </c>
      <c r="I1072" s="89"/>
      <c r="K1072" s="157"/>
      <c r="L1072" s="157"/>
      <c r="M1072" s="158"/>
      <c r="O1072" s="82">
        <f t="shared" si="152"/>
        <v>0</v>
      </c>
    </row>
    <row r="1073" spans="1:15" ht="18" customHeight="1" x14ac:dyDescent="0.2">
      <c r="A1073" s="40"/>
      <c r="B1073" s="54"/>
      <c r="C1073" s="41"/>
      <c r="D1073" s="41"/>
      <c r="E1073" s="90"/>
      <c r="F1073" s="90"/>
      <c r="G1073" s="90"/>
      <c r="H1073" s="90"/>
      <c r="I1073" s="90">
        <f>SUM(H1072)</f>
        <v>9.4499999999999993</v>
      </c>
      <c r="J1073" s="90"/>
      <c r="K1073" s="163"/>
      <c r="L1073" s="163"/>
      <c r="M1073" s="158"/>
      <c r="O1073" s="82">
        <f t="shared" si="152"/>
        <v>0</v>
      </c>
    </row>
    <row r="1074" spans="1:15" s="5" customFormat="1" ht="16.149999999999999" customHeight="1" x14ac:dyDescent="0.2">
      <c r="A1074" s="30"/>
      <c r="B1074" s="98" t="s">
        <v>530</v>
      </c>
      <c r="C1074" s="32"/>
      <c r="D1074" s="32"/>
      <c r="E1074" s="89"/>
      <c r="F1074" s="89"/>
      <c r="G1074" s="89"/>
      <c r="H1074" s="89">
        <f t="shared" ref="H1074:H1075" si="159">PRODUCT(D1074:G1074)</f>
        <v>0</v>
      </c>
      <c r="I1074" s="89"/>
      <c r="J1074" s="89"/>
      <c r="K1074" s="157"/>
      <c r="L1074" s="157"/>
      <c r="M1074" s="158"/>
      <c r="O1074" s="82">
        <f t="shared" si="152"/>
        <v>0</v>
      </c>
    </row>
    <row r="1075" spans="1:15" s="5" customFormat="1" ht="16.149999999999999" customHeight="1" x14ac:dyDescent="0.2">
      <c r="A1075" s="30"/>
      <c r="B1075" s="44" t="s">
        <v>554</v>
      </c>
      <c r="C1075" s="41"/>
      <c r="D1075" s="41">
        <v>3</v>
      </c>
      <c r="E1075" s="109">
        <f>2.3+0.9</f>
        <v>3.1999999999999997</v>
      </c>
      <c r="F1075" s="109"/>
      <c r="G1075" s="109"/>
      <c r="H1075" s="89">
        <f t="shared" si="159"/>
        <v>9.6</v>
      </c>
      <c r="I1075" s="89"/>
      <c r="K1075" s="157"/>
      <c r="L1075" s="157"/>
      <c r="M1075" s="158"/>
      <c r="O1075" s="82">
        <f t="shared" si="152"/>
        <v>0</v>
      </c>
    </row>
    <row r="1076" spans="1:15" ht="18" customHeight="1" x14ac:dyDescent="0.2">
      <c r="A1076" s="40"/>
      <c r="B1076" s="54"/>
      <c r="C1076" s="41"/>
      <c r="D1076" s="41"/>
      <c r="E1076" s="90"/>
      <c r="F1076" s="90"/>
      <c r="G1076" s="90"/>
      <c r="H1076" s="90"/>
      <c r="I1076" s="90">
        <f>SUM(H1075)</f>
        <v>9.6</v>
      </c>
      <c r="J1076" s="90"/>
      <c r="K1076" s="163"/>
      <c r="L1076" s="163"/>
      <c r="M1076" s="158"/>
      <c r="O1076" s="82">
        <f t="shared" si="152"/>
        <v>0</v>
      </c>
    </row>
    <row r="1077" spans="1:15" ht="18" customHeight="1" x14ac:dyDescent="0.2">
      <c r="A1077" s="40"/>
      <c r="B1077" s="54"/>
      <c r="C1077" s="41"/>
      <c r="D1077" s="41"/>
      <c r="E1077" s="90"/>
      <c r="F1077" s="90"/>
      <c r="G1077" s="90"/>
      <c r="H1077" s="90"/>
      <c r="I1077" s="90"/>
      <c r="J1077" s="90"/>
      <c r="K1077" s="163"/>
      <c r="L1077" s="163"/>
      <c r="M1077" s="158"/>
      <c r="O1077" s="82">
        <f t="shared" si="152"/>
        <v>0</v>
      </c>
    </row>
    <row r="1078" spans="1:15" ht="18" customHeight="1" x14ac:dyDescent="0.2">
      <c r="A1078" s="40"/>
      <c r="B1078" s="54"/>
      <c r="C1078" s="41"/>
      <c r="D1078" s="41"/>
      <c r="E1078" s="90"/>
      <c r="F1078" s="90"/>
      <c r="G1078" s="90"/>
      <c r="H1078" s="90"/>
      <c r="I1078" s="90"/>
      <c r="J1078" s="90"/>
      <c r="K1078" s="163"/>
      <c r="L1078" s="163"/>
      <c r="M1078" s="158"/>
      <c r="O1078" s="82">
        <f t="shared" si="152"/>
        <v>0</v>
      </c>
    </row>
    <row r="1079" spans="1:15" ht="18" customHeight="1" x14ac:dyDescent="0.2">
      <c r="A1079" s="40" t="s">
        <v>203</v>
      </c>
      <c r="B1079" s="45" t="s">
        <v>273</v>
      </c>
      <c r="C1079" s="41" t="s">
        <v>4</v>
      </c>
      <c r="D1079" s="41"/>
      <c r="E1079" s="90"/>
      <c r="F1079" s="90"/>
      <c r="G1079" s="90"/>
      <c r="H1079" s="90"/>
      <c r="I1079" s="90"/>
      <c r="J1079" s="90">
        <f>SUM(I1081:I1123)</f>
        <v>375.47599999999994</v>
      </c>
      <c r="K1079" s="163">
        <v>390</v>
      </c>
      <c r="L1079" s="163">
        <v>140</v>
      </c>
      <c r="M1079" s="158">
        <f t="shared" si="137"/>
        <v>54600</v>
      </c>
      <c r="O1079" s="82">
        <f t="shared" si="152"/>
        <v>14.524000000000058</v>
      </c>
    </row>
    <row r="1080" spans="1:15" s="5" customFormat="1" ht="16.149999999999999" customHeight="1" x14ac:dyDescent="0.2">
      <c r="A1080" s="30"/>
      <c r="B1080" s="98" t="s">
        <v>464</v>
      </c>
      <c r="C1080" s="32"/>
      <c r="D1080" s="32"/>
      <c r="E1080" s="89"/>
      <c r="F1080" s="89"/>
      <c r="G1080" s="89"/>
      <c r="H1080" s="89"/>
      <c r="I1080" s="89"/>
      <c r="K1080" s="157"/>
      <c r="L1080" s="157"/>
      <c r="M1080" s="158"/>
      <c r="O1080" s="82">
        <f t="shared" si="152"/>
        <v>0</v>
      </c>
    </row>
    <row r="1081" spans="1:15" ht="15.95" customHeight="1" x14ac:dyDescent="0.2">
      <c r="A1081" s="30"/>
      <c r="B1081" s="46"/>
      <c r="C1081" s="41"/>
      <c r="D1081" s="41"/>
      <c r="E1081" s="90"/>
      <c r="F1081" s="90"/>
      <c r="G1081" s="90"/>
      <c r="H1081" s="89"/>
      <c r="I1081" s="89"/>
      <c r="J1081" s="108"/>
      <c r="K1081" s="157"/>
      <c r="L1081" s="157"/>
      <c r="M1081" s="158"/>
      <c r="O1081" s="82">
        <f t="shared" si="152"/>
        <v>0</v>
      </c>
    </row>
    <row r="1082" spans="1:15" ht="15.95" customHeight="1" x14ac:dyDescent="0.2">
      <c r="A1082" s="30"/>
      <c r="B1082" s="46"/>
      <c r="C1082" s="41"/>
      <c r="D1082" s="41"/>
      <c r="E1082" s="90"/>
      <c r="F1082" s="90"/>
      <c r="G1082" s="90"/>
      <c r="H1082" s="89"/>
      <c r="I1082" s="89">
        <f t="shared" ref="I1082" si="160">PRODUCT(E1082:H1082)</f>
        <v>0</v>
      </c>
      <c r="J1082" s="90"/>
      <c r="K1082" s="157"/>
      <c r="L1082" s="157"/>
      <c r="M1082" s="158"/>
      <c r="O1082" s="82">
        <f t="shared" si="152"/>
        <v>0</v>
      </c>
    </row>
    <row r="1083" spans="1:15" s="5" customFormat="1" ht="16.149999999999999" customHeight="1" x14ac:dyDescent="0.2">
      <c r="A1083" s="30"/>
      <c r="B1083" s="98" t="s">
        <v>465</v>
      </c>
      <c r="C1083" s="32"/>
      <c r="D1083" s="32"/>
      <c r="E1083" s="89"/>
      <c r="F1083" s="89"/>
      <c r="G1083" s="89"/>
      <c r="H1083" s="89">
        <f t="shared" ref="H1083:H1088" si="161">PRODUCT(D1083:G1083)</f>
        <v>0</v>
      </c>
      <c r="I1083" s="89"/>
      <c r="J1083" s="89"/>
      <c r="K1083" s="157"/>
      <c r="L1083" s="157"/>
      <c r="M1083" s="158"/>
      <c r="O1083" s="82">
        <f t="shared" si="152"/>
        <v>0</v>
      </c>
    </row>
    <row r="1084" spans="1:15" s="5" customFormat="1" ht="16.149999999999999" customHeight="1" x14ac:dyDescent="0.2">
      <c r="A1084" s="30"/>
      <c r="B1084" s="44" t="s">
        <v>487</v>
      </c>
      <c r="C1084" s="41"/>
      <c r="D1084" s="41">
        <v>4</v>
      </c>
      <c r="E1084" s="109">
        <v>2.1</v>
      </c>
      <c r="F1084" s="109"/>
      <c r="G1084" s="109">
        <v>2.2999999999999998</v>
      </c>
      <c r="H1084" s="89">
        <f t="shared" si="161"/>
        <v>19.32</v>
      </c>
      <c r="I1084" s="89"/>
      <c r="K1084" s="157"/>
      <c r="L1084" s="157"/>
      <c r="M1084" s="158"/>
      <c r="O1084" s="82">
        <f t="shared" si="152"/>
        <v>0</v>
      </c>
    </row>
    <row r="1085" spans="1:15" ht="15.95" customHeight="1" x14ac:dyDescent="0.2">
      <c r="A1085" s="30"/>
      <c r="B1085" s="46"/>
      <c r="C1085" s="41"/>
      <c r="D1085" s="41">
        <v>4</v>
      </c>
      <c r="E1085" s="90">
        <v>1.9</v>
      </c>
      <c r="F1085" s="90"/>
      <c r="G1085" s="109">
        <v>2.2999999999999998</v>
      </c>
      <c r="H1085" s="89">
        <f t="shared" si="161"/>
        <v>17.479999999999997</v>
      </c>
      <c r="I1085" s="90"/>
      <c r="J1085" s="90"/>
      <c r="K1085" s="157"/>
      <c r="L1085" s="157"/>
      <c r="M1085" s="158"/>
      <c r="O1085" s="82">
        <f t="shared" si="152"/>
        <v>0</v>
      </c>
    </row>
    <row r="1086" spans="1:15" s="5" customFormat="1" ht="16.149999999999999" customHeight="1" x14ac:dyDescent="0.2">
      <c r="A1086" s="30"/>
      <c r="B1086" s="110" t="s">
        <v>480</v>
      </c>
      <c r="C1086" s="41"/>
      <c r="D1086" s="41"/>
      <c r="E1086" s="109"/>
      <c r="F1086" s="109"/>
      <c r="G1086" s="109"/>
      <c r="H1086" s="89">
        <f t="shared" si="161"/>
        <v>0</v>
      </c>
      <c r="I1086" s="89"/>
      <c r="K1086" s="157"/>
      <c r="L1086" s="157"/>
      <c r="M1086" s="158"/>
      <c r="O1086" s="82">
        <f t="shared" si="152"/>
        <v>0</v>
      </c>
    </row>
    <row r="1087" spans="1:15" ht="15.95" customHeight="1" x14ac:dyDescent="0.2">
      <c r="A1087" s="30"/>
      <c r="B1087" s="41" t="s">
        <v>424</v>
      </c>
      <c r="C1087" s="41"/>
      <c r="D1087" s="41">
        <v>-2</v>
      </c>
      <c r="E1087" s="90">
        <v>0.9</v>
      </c>
      <c r="F1087" s="90"/>
      <c r="G1087" s="90">
        <v>0.5</v>
      </c>
      <c r="H1087" s="89">
        <f t="shared" si="161"/>
        <v>-0.9</v>
      </c>
      <c r="I1087" s="89"/>
      <c r="J1087" s="90"/>
      <c r="K1087" s="157"/>
      <c r="L1087" s="157"/>
      <c r="M1087" s="158"/>
      <c r="O1087" s="82">
        <f t="shared" si="152"/>
        <v>0</v>
      </c>
    </row>
    <row r="1088" spans="1:15" ht="15.95" customHeight="1" x14ac:dyDescent="0.2">
      <c r="A1088" s="30"/>
      <c r="B1088" s="41" t="s">
        <v>481</v>
      </c>
      <c r="C1088" s="41"/>
      <c r="D1088" s="41">
        <v>-2</v>
      </c>
      <c r="E1088" s="90">
        <v>0.8</v>
      </c>
      <c r="F1088" s="90"/>
      <c r="G1088" s="90">
        <v>2.2000000000000002</v>
      </c>
      <c r="H1088" s="89">
        <f t="shared" si="161"/>
        <v>-3.5200000000000005</v>
      </c>
      <c r="I1088" s="89"/>
      <c r="J1088" s="108"/>
      <c r="K1088" s="157"/>
      <c r="L1088" s="157"/>
      <c r="M1088" s="158"/>
      <c r="O1088" s="82">
        <f t="shared" si="152"/>
        <v>0</v>
      </c>
    </row>
    <row r="1089" spans="1:15" ht="15.95" customHeight="1" x14ac:dyDescent="0.2">
      <c r="A1089" s="30"/>
      <c r="B1089" s="46"/>
      <c r="C1089" s="41"/>
      <c r="D1089" s="41"/>
      <c r="E1089" s="90"/>
      <c r="F1089" s="90"/>
      <c r="G1089" s="90"/>
      <c r="H1089" s="89"/>
      <c r="I1089" s="90"/>
      <c r="J1089" s="90"/>
      <c r="K1089" s="157"/>
      <c r="L1089" s="157"/>
      <c r="M1089" s="158"/>
      <c r="O1089" s="82">
        <f t="shared" si="152"/>
        <v>0</v>
      </c>
    </row>
    <row r="1090" spans="1:15" s="5" customFormat="1" ht="16.149999999999999" customHeight="1" x14ac:dyDescent="0.2">
      <c r="A1090" s="30"/>
      <c r="B1090" s="44" t="s">
        <v>503</v>
      </c>
      <c r="C1090" s="41"/>
      <c r="D1090" s="41">
        <v>1</v>
      </c>
      <c r="E1090" s="109">
        <v>1.3</v>
      </c>
      <c r="F1090" s="109"/>
      <c r="G1090" s="109">
        <v>1</v>
      </c>
      <c r="H1090" s="89">
        <f t="shared" ref="H1090:H1091" si="162">PRODUCT(D1090:G1090)</f>
        <v>1.3</v>
      </c>
      <c r="I1090" s="89"/>
      <c r="K1090" s="157"/>
      <c r="L1090" s="157"/>
      <c r="M1090" s="158"/>
      <c r="O1090" s="82">
        <f t="shared" si="152"/>
        <v>0</v>
      </c>
    </row>
    <row r="1091" spans="1:15" ht="15.95" customHeight="1" x14ac:dyDescent="0.2">
      <c r="A1091" s="30"/>
      <c r="B1091" s="46"/>
      <c r="C1091" s="41"/>
      <c r="D1091" s="41">
        <v>2</v>
      </c>
      <c r="E1091" s="90">
        <v>0.6</v>
      </c>
      <c r="F1091" s="90"/>
      <c r="G1091" s="109">
        <v>1</v>
      </c>
      <c r="H1091" s="89">
        <f t="shared" si="162"/>
        <v>1.2</v>
      </c>
      <c r="I1091" s="90"/>
      <c r="J1091" s="90"/>
      <c r="K1091" s="157"/>
      <c r="L1091" s="157"/>
      <c r="M1091" s="158"/>
      <c r="O1091" s="82">
        <f t="shared" si="152"/>
        <v>0</v>
      </c>
    </row>
    <row r="1092" spans="1:15" ht="15.95" customHeight="1" x14ac:dyDescent="0.2">
      <c r="A1092" s="30"/>
      <c r="B1092" s="46"/>
      <c r="C1092" s="41"/>
      <c r="D1092" s="41"/>
      <c r="E1092" s="90"/>
      <c r="F1092" s="90"/>
      <c r="G1092" s="90"/>
      <c r="H1092" s="89"/>
      <c r="I1092" s="90">
        <f>SUM(H1083:H1092)</f>
        <v>34.879999999999995</v>
      </c>
      <c r="J1092" s="90"/>
      <c r="K1092" s="157"/>
      <c r="L1092" s="157"/>
      <c r="M1092" s="158"/>
      <c r="O1092" s="82">
        <f t="shared" si="152"/>
        <v>0</v>
      </c>
    </row>
    <row r="1093" spans="1:15" ht="15.95" customHeight="1" x14ac:dyDescent="0.2">
      <c r="A1093" s="30"/>
      <c r="B1093" s="46"/>
      <c r="C1093" s="41"/>
      <c r="D1093" s="41"/>
      <c r="E1093" s="90"/>
      <c r="F1093" s="90"/>
      <c r="G1093" s="90"/>
      <c r="H1093" s="89"/>
      <c r="I1093" s="90"/>
      <c r="J1093" s="90"/>
      <c r="K1093" s="157"/>
      <c r="L1093" s="157"/>
      <c r="M1093" s="158"/>
      <c r="O1093" s="82">
        <f t="shared" si="152"/>
        <v>0</v>
      </c>
    </row>
    <row r="1094" spans="1:15" s="5" customFormat="1" ht="16.149999999999999" customHeight="1" x14ac:dyDescent="0.2">
      <c r="A1094" s="30"/>
      <c r="B1094" s="98" t="s">
        <v>530</v>
      </c>
      <c r="C1094" s="32"/>
      <c r="D1094" s="32"/>
      <c r="E1094" s="89"/>
      <c r="F1094" s="89"/>
      <c r="G1094" s="89"/>
      <c r="H1094" s="89">
        <f t="shared" ref="H1094:H1110" si="163">PRODUCT(D1094:G1094)</f>
        <v>0</v>
      </c>
      <c r="I1094" s="89"/>
      <c r="J1094" s="89"/>
      <c r="K1094" s="157"/>
      <c r="L1094" s="157"/>
      <c r="M1094" s="158"/>
      <c r="O1094" s="82">
        <f t="shared" ref="O1094:O1162" si="164">K1094-J1094</f>
        <v>0</v>
      </c>
    </row>
    <row r="1095" spans="1:15" s="5" customFormat="1" ht="16.149999999999999" customHeight="1" x14ac:dyDescent="0.2">
      <c r="A1095" s="30"/>
      <c r="B1095" s="44" t="s">
        <v>541</v>
      </c>
      <c r="C1095" s="41"/>
      <c r="D1095" s="41">
        <v>2</v>
      </c>
      <c r="E1095" s="109">
        <v>1.9</v>
      </c>
      <c r="F1095" s="109"/>
      <c r="G1095" s="109">
        <v>2.2999999999999998</v>
      </c>
      <c r="H1095" s="89">
        <f t="shared" si="163"/>
        <v>8.7399999999999984</v>
      </c>
      <c r="I1095" s="89"/>
      <c r="K1095" s="157"/>
      <c r="L1095" s="157"/>
      <c r="M1095" s="158"/>
      <c r="O1095" s="82">
        <f t="shared" si="164"/>
        <v>0</v>
      </c>
    </row>
    <row r="1096" spans="1:15" s="5" customFormat="1" ht="16.149999999999999" customHeight="1" x14ac:dyDescent="0.2">
      <c r="A1096" s="30"/>
      <c r="B1096" s="44"/>
      <c r="C1096" s="41"/>
      <c r="D1096" s="41">
        <v>2</v>
      </c>
      <c r="E1096" s="109">
        <v>1.6</v>
      </c>
      <c r="F1096" s="109"/>
      <c r="G1096" s="109">
        <v>2.2999999999999998</v>
      </c>
      <c r="H1096" s="89">
        <f t="shared" si="163"/>
        <v>7.3599999999999994</v>
      </c>
      <c r="I1096" s="89"/>
      <c r="K1096" s="157"/>
      <c r="L1096" s="157"/>
      <c r="M1096" s="158"/>
      <c r="O1096" s="82">
        <f t="shared" si="164"/>
        <v>0</v>
      </c>
    </row>
    <row r="1097" spans="1:15" s="5" customFormat="1" ht="16.149999999999999" customHeight="1" x14ac:dyDescent="0.2">
      <c r="A1097" s="30"/>
      <c r="B1097" s="110" t="s">
        <v>480</v>
      </c>
      <c r="C1097" s="41"/>
      <c r="D1097" s="41"/>
      <c r="E1097" s="109"/>
      <c r="F1097" s="109"/>
      <c r="G1097" s="109"/>
      <c r="H1097" s="89">
        <f t="shared" si="163"/>
        <v>0</v>
      </c>
      <c r="I1097" s="90"/>
      <c r="J1097" s="90"/>
      <c r="K1097" s="157"/>
      <c r="L1097" s="157"/>
      <c r="M1097" s="158"/>
      <c r="O1097" s="82">
        <f t="shared" si="164"/>
        <v>0</v>
      </c>
    </row>
    <row r="1098" spans="1:15" ht="15.95" customHeight="1" x14ac:dyDescent="0.2">
      <c r="A1098" s="30"/>
      <c r="B1098" s="41" t="s">
        <v>424</v>
      </c>
      <c r="C1098" s="41"/>
      <c r="D1098" s="41">
        <v>-1</v>
      </c>
      <c r="E1098" s="90">
        <v>0.9</v>
      </c>
      <c r="F1098" s="90"/>
      <c r="G1098" s="90">
        <v>0.5</v>
      </c>
      <c r="H1098" s="89">
        <f t="shared" si="163"/>
        <v>-0.45</v>
      </c>
      <c r="I1098" s="90"/>
      <c r="J1098" s="90"/>
      <c r="K1098" s="157"/>
      <c r="L1098" s="157"/>
      <c r="M1098" s="158"/>
      <c r="O1098" s="82">
        <f t="shared" si="164"/>
        <v>0</v>
      </c>
    </row>
    <row r="1099" spans="1:15" ht="15.95" customHeight="1" x14ac:dyDescent="0.2">
      <c r="A1099" s="30"/>
      <c r="B1099" s="41" t="s">
        <v>481</v>
      </c>
      <c r="C1099" s="41"/>
      <c r="D1099" s="41">
        <v>-1</v>
      </c>
      <c r="E1099" s="90">
        <v>0.9</v>
      </c>
      <c r="F1099" s="90"/>
      <c r="G1099" s="90">
        <v>2.2000000000000002</v>
      </c>
      <c r="H1099" s="89">
        <f t="shared" si="163"/>
        <v>-1.9800000000000002</v>
      </c>
      <c r="I1099" s="90"/>
      <c r="J1099" s="90"/>
      <c r="K1099" s="157"/>
      <c r="L1099" s="157"/>
      <c r="M1099" s="158"/>
      <c r="O1099" s="82">
        <f t="shared" si="164"/>
        <v>0</v>
      </c>
    </row>
    <row r="1100" spans="1:15" s="5" customFormat="1" ht="16.149999999999999" customHeight="1" x14ac:dyDescent="0.2">
      <c r="A1100" s="30"/>
      <c r="B1100" s="44" t="s">
        <v>533</v>
      </c>
      <c r="C1100" s="41"/>
      <c r="D1100" s="41">
        <v>2</v>
      </c>
      <c r="E1100" s="109">
        <v>3.22</v>
      </c>
      <c r="F1100" s="109"/>
      <c r="G1100" s="109">
        <v>2.2999999999999998</v>
      </c>
      <c r="H1100" s="89">
        <f t="shared" si="163"/>
        <v>14.811999999999999</v>
      </c>
      <c r="I1100" s="89"/>
      <c r="K1100" s="157"/>
      <c r="L1100" s="157"/>
      <c r="M1100" s="158"/>
      <c r="O1100" s="82">
        <f t="shared" si="164"/>
        <v>0</v>
      </c>
    </row>
    <row r="1101" spans="1:15" ht="15.95" customHeight="1" x14ac:dyDescent="0.2">
      <c r="A1101" s="30"/>
      <c r="B1101" s="46"/>
      <c r="C1101" s="41"/>
      <c r="D1101" s="41">
        <v>2</v>
      </c>
      <c r="E1101" s="90">
        <v>2.85</v>
      </c>
      <c r="F1101" s="90"/>
      <c r="G1101" s="109">
        <v>2.2999999999999998</v>
      </c>
      <c r="H1101" s="89">
        <f t="shared" si="163"/>
        <v>13.11</v>
      </c>
      <c r="I1101" s="90"/>
      <c r="J1101" s="90"/>
      <c r="K1101" s="157"/>
      <c r="L1101" s="157"/>
      <c r="M1101" s="158"/>
      <c r="O1101" s="82">
        <f t="shared" si="164"/>
        <v>0</v>
      </c>
    </row>
    <row r="1102" spans="1:15" s="5" customFormat="1" ht="16.149999999999999" customHeight="1" x14ac:dyDescent="0.2">
      <c r="A1102" s="30"/>
      <c r="B1102" s="110" t="s">
        <v>480</v>
      </c>
      <c r="C1102" s="41"/>
      <c r="D1102" s="41"/>
      <c r="E1102" s="109"/>
      <c r="F1102" s="109"/>
      <c r="G1102" s="109"/>
      <c r="H1102" s="89">
        <f t="shared" si="163"/>
        <v>0</v>
      </c>
      <c r="I1102" s="90"/>
      <c r="J1102" s="90"/>
      <c r="K1102" s="157"/>
      <c r="L1102" s="157"/>
      <c r="M1102" s="158"/>
      <c r="O1102" s="82">
        <f t="shared" si="164"/>
        <v>0</v>
      </c>
    </row>
    <row r="1103" spans="1:15" ht="15.95" customHeight="1" x14ac:dyDescent="0.2">
      <c r="A1103" s="30"/>
      <c r="B1103" s="41" t="s">
        <v>424</v>
      </c>
      <c r="C1103" s="41"/>
      <c r="D1103" s="41">
        <v>-1</v>
      </c>
      <c r="E1103" s="90">
        <v>0.9</v>
      </c>
      <c r="F1103" s="90"/>
      <c r="G1103" s="90">
        <v>1.2</v>
      </c>
      <c r="H1103" s="89">
        <f t="shared" si="163"/>
        <v>-1.08</v>
      </c>
      <c r="I1103" s="90"/>
      <c r="J1103" s="90"/>
      <c r="K1103" s="157"/>
      <c r="L1103" s="157"/>
      <c r="M1103" s="158"/>
      <c r="O1103" s="82">
        <f t="shared" si="164"/>
        <v>0</v>
      </c>
    </row>
    <row r="1104" spans="1:15" ht="15.95" customHeight="1" x14ac:dyDescent="0.2">
      <c r="A1104" s="30"/>
      <c r="B1104" s="41" t="s">
        <v>481</v>
      </c>
      <c r="C1104" s="41"/>
      <c r="D1104" s="41">
        <v>-1</v>
      </c>
      <c r="E1104" s="90">
        <v>0.9</v>
      </c>
      <c r="F1104" s="90"/>
      <c r="G1104" s="90">
        <v>2.2000000000000002</v>
      </c>
      <c r="H1104" s="89">
        <f t="shared" si="163"/>
        <v>-1.9800000000000002</v>
      </c>
      <c r="I1104" s="90"/>
      <c r="J1104" s="90"/>
      <c r="K1104" s="157"/>
      <c r="L1104" s="157"/>
      <c r="M1104" s="158"/>
      <c r="O1104" s="82">
        <f t="shared" si="164"/>
        <v>0</v>
      </c>
    </row>
    <row r="1105" spans="1:15" s="5" customFormat="1" ht="16.149999999999999" customHeight="1" x14ac:dyDescent="0.2">
      <c r="A1105" s="30"/>
      <c r="B1105" s="44" t="s">
        <v>545</v>
      </c>
      <c r="C1105" s="41"/>
      <c r="D1105" s="41">
        <v>2</v>
      </c>
      <c r="E1105" s="109">
        <v>0.9</v>
      </c>
      <c r="F1105" s="109"/>
      <c r="G1105" s="109">
        <v>2.2999999999999998</v>
      </c>
      <c r="H1105" s="89">
        <f t="shared" si="163"/>
        <v>4.1399999999999997</v>
      </c>
      <c r="I1105" s="89"/>
      <c r="K1105" s="157"/>
      <c r="L1105" s="157"/>
      <c r="M1105" s="158"/>
      <c r="O1105" s="82">
        <f t="shared" si="164"/>
        <v>0</v>
      </c>
    </row>
    <row r="1106" spans="1:15" ht="15.95" customHeight="1" x14ac:dyDescent="0.2">
      <c r="A1106" s="30"/>
      <c r="B1106" s="46"/>
      <c r="C1106" s="41"/>
      <c r="D1106" s="41">
        <v>2</v>
      </c>
      <c r="E1106" s="90">
        <v>1.24</v>
      </c>
      <c r="F1106" s="90"/>
      <c r="G1106" s="109">
        <v>2.2999999999999998</v>
      </c>
      <c r="H1106" s="89">
        <f t="shared" si="163"/>
        <v>5.7039999999999997</v>
      </c>
      <c r="I1106" s="90"/>
      <c r="J1106" s="90"/>
      <c r="K1106" s="157"/>
      <c r="L1106" s="157"/>
      <c r="M1106" s="158"/>
      <c r="O1106" s="82">
        <f t="shared" si="164"/>
        <v>0</v>
      </c>
    </row>
    <row r="1107" spans="1:15" ht="15.95" customHeight="1" x14ac:dyDescent="0.2">
      <c r="A1107" s="30"/>
      <c r="B1107" s="46"/>
      <c r="C1107" s="41"/>
      <c r="D1107" s="41">
        <v>4</v>
      </c>
      <c r="E1107" s="90">
        <v>1.85</v>
      </c>
      <c r="F1107" s="90"/>
      <c r="G1107" s="109">
        <v>2.2999999999999998</v>
      </c>
      <c r="H1107" s="89">
        <f t="shared" si="163"/>
        <v>17.02</v>
      </c>
      <c r="I1107" s="90"/>
      <c r="J1107" s="90"/>
      <c r="K1107" s="157"/>
      <c r="L1107" s="157"/>
      <c r="M1107" s="158"/>
      <c r="O1107" s="82">
        <f t="shared" si="164"/>
        <v>0</v>
      </c>
    </row>
    <row r="1108" spans="1:15" s="5" customFormat="1" ht="16.149999999999999" customHeight="1" x14ac:dyDescent="0.2">
      <c r="A1108" s="30"/>
      <c r="B1108" s="110" t="s">
        <v>480</v>
      </c>
      <c r="C1108" s="41"/>
      <c r="D1108" s="41"/>
      <c r="E1108" s="109"/>
      <c r="F1108" s="109"/>
      <c r="G1108" s="109"/>
      <c r="H1108" s="89">
        <f t="shared" si="163"/>
        <v>0</v>
      </c>
      <c r="I1108" s="90"/>
      <c r="J1108" s="90"/>
      <c r="K1108" s="157"/>
      <c r="L1108" s="157"/>
      <c r="M1108" s="158"/>
      <c r="O1108" s="82">
        <f t="shared" si="164"/>
        <v>0</v>
      </c>
    </row>
    <row r="1109" spans="1:15" ht="15.95" customHeight="1" x14ac:dyDescent="0.2">
      <c r="A1109" s="30"/>
      <c r="B1109" s="41" t="s">
        <v>424</v>
      </c>
      <c r="C1109" s="41"/>
      <c r="D1109" s="41">
        <v>-1</v>
      </c>
      <c r="E1109" s="90">
        <v>0.9</v>
      </c>
      <c r="F1109" s="90"/>
      <c r="G1109" s="90">
        <v>0.5</v>
      </c>
      <c r="H1109" s="89">
        <f t="shared" si="163"/>
        <v>-0.45</v>
      </c>
      <c r="I1109" s="90"/>
      <c r="J1109" s="90"/>
      <c r="K1109" s="157"/>
      <c r="L1109" s="157"/>
      <c r="M1109" s="158"/>
      <c r="O1109" s="82">
        <f t="shared" si="164"/>
        <v>0</v>
      </c>
    </row>
    <row r="1110" spans="1:15" ht="15.95" customHeight="1" x14ac:dyDescent="0.2">
      <c r="A1110" s="30"/>
      <c r="B1110" s="41" t="s">
        <v>481</v>
      </c>
      <c r="C1110" s="41"/>
      <c r="D1110" s="41">
        <v>-3</v>
      </c>
      <c r="E1110" s="90">
        <v>0.8</v>
      </c>
      <c r="F1110" s="90"/>
      <c r="G1110" s="90">
        <v>2.2000000000000002</v>
      </c>
      <c r="H1110" s="89">
        <f t="shared" si="163"/>
        <v>-5.2800000000000011</v>
      </c>
      <c r="I1110" s="90"/>
      <c r="J1110" s="90"/>
      <c r="K1110" s="157"/>
      <c r="L1110" s="157"/>
      <c r="M1110" s="158"/>
      <c r="O1110" s="82">
        <f t="shared" si="164"/>
        <v>0</v>
      </c>
    </row>
    <row r="1111" spans="1:15" s="5" customFormat="1" ht="16.149999999999999" customHeight="1" x14ac:dyDescent="0.2">
      <c r="A1111" s="30"/>
      <c r="B1111" s="44"/>
      <c r="C1111" s="41"/>
      <c r="D1111" s="41"/>
      <c r="E1111" s="109"/>
      <c r="F1111" s="109"/>
      <c r="G1111" s="109"/>
      <c r="H1111" s="89"/>
      <c r="I1111" s="89">
        <f>SUM(H1095:H1110)</f>
        <v>59.665999999999997</v>
      </c>
      <c r="K1111" s="157"/>
      <c r="L1111" s="157"/>
      <c r="M1111" s="158"/>
      <c r="O1111" s="82">
        <f t="shared" si="164"/>
        <v>0</v>
      </c>
    </row>
    <row r="1112" spans="1:15" s="5" customFormat="1" ht="16.149999999999999" customHeight="1" x14ac:dyDescent="0.2">
      <c r="A1112" s="30"/>
      <c r="B1112" s="98" t="s">
        <v>466</v>
      </c>
      <c r="C1112" s="32"/>
      <c r="D1112" s="32"/>
      <c r="E1112" s="89"/>
      <c r="F1112" s="89"/>
      <c r="G1112" s="89"/>
      <c r="H1112" s="89">
        <f t="shared" ref="H1112:H1120" si="165">PRODUCT(D1112:G1112)</f>
        <v>0</v>
      </c>
      <c r="I1112" s="89"/>
      <c r="J1112" s="89"/>
      <c r="K1112" s="157"/>
      <c r="L1112" s="157"/>
      <c r="M1112" s="158"/>
      <c r="O1112" s="82">
        <f t="shared" si="164"/>
        <v>0</v>
      </c>
    </row>
    <row r="1113" spans="1:15" ht="15.95" customHeight="1" x14ac:dyDescent="0.2">
      <c r="A1113" s="30"/>
      <c r="B1113" s="46"/>
      <c r="C1113" s="41"/>
      <c r="D1113" s="41">
        <v>8</v>
      </c>
      <c r="E1113" s="90">
        <v>4.5999999999999996</v>
      </c>
      <c r="F1113" s="90"/>
      <c r="G1113" s="109">
        <v>2.2999999999999998</v>
      </c>
      <c r="H1113" s="89">
        <f t="shared" si="165"/>
        <v>84.639999999999986</v>
      </c>
      <c r="I1113" s="90"/>
      <c r="J1113" s="90"/>
      <c r="K1113" s="157"/>
      <c r="L1113" s="157"/>
      <c r="M1113" s="158"/>
      <c r="O1113" s="82">
        <f t="shared" si="164"/>
        <v>0</v>
      </c>
    </row>
    <row r="1114" spans="1:15" ht="15.95" customHeight="1" x14ac:dyDescent="0.2">
      <c r="A1114" s="30"/>
      <c r="B1114" s="46"/>
      <c r="C1114" s="41"/>
      <c r="D1114" s="41">
        <v>8</v>
      </c>
      <c r="E1114" s="90">
        <v>2</v>
      </c>
      <c r="F1114" s="90"/>
      <c r="G1114" s="109">
        <v>2.2999999999999998</v>
      </c>
      <c r="H1114" s="89">
        <f t="shared" si="165"/>
        <v>36.799999999999997</v>
      </c>
      <c r="I1114" s="90"/>
      <c r="J1114" s="90"/>
      <c r="K1114" s="157"/>
      <c r="L1114" s="157"/>
      <c r="M1114" s="158"/>
      <c r="O1114" s="82">
        <f t="shared" si="164"/>
        <v>0</v>
      </c>
    </row>
    <row r="1115" spans="1:15" ht="15.95" customHeight="1" x14ac:dyDescent="0.2">
      <c r="A1115" s="30"/>
      <c r="B1115" s="46"/>
      <c r="C1115" s="41"/>
      <c r="D1115" s="41">
        <f>6*4</f>
        <v>24</v>
      </c>
      <c r="E1115" s="90">
        <v>2</v>
      </c>
      <c r="F1115" s="90"/>
      <c r="G1115" s="109">
        <v>2.2999999999999998</v>
      </c>
      <c r="H1115" s="89">
        <f t="shared" si="165"/>
        <v>110.39999999999999</v>
      </c>
      <c r="I1115" s="90"/>
      <c r="J1115" s="90"/>
      <c r="K1115" s="157"/>
      <c r="L1115" s="157"/>
      <c r="M1115" s="158"/>
      <c r="O1115" s="82">
        <f t="shared" si="164"/>
        <v>0</v>
      </c>
    </row>
    <row r="1116" spans="1:15" ht="15.95" customHeight="1" x14ac:dyDescent="0.2">
      <c r="A1116" s="30"/>
      <c r="B1116" s="46"/>
      <c r="C1116" s="41"/>
      <c r="D1116" s="41">
        <f>6*4</f>
        <v>24</v>
      </c>
      <c r="E1116" s="90">
        <v>1.5</v>
      </c>
      <c r="F1116" s="90"/>
      <c r="G1116" s="109">
        <v>2.2999999999999998</v>
      </c>
      <c r="H1116" s="89">
        <f t="shared" si="165"/>
        <v>82.8</v>
      </c>
      <c r="I1116" s="90"/>
      <c r="J1116" s="90"/>
      <c r="K1116" s="157"/>
      <c r="L1116" s="157"/>
      <c r="M1116" s="158"/>
      <c r="O1116" s="82">
        <f t="shared" si="164"/>
        <v>0</v>
      </c>
    </row>
    <row r="1117" spans="1:15" ht="15.95" customHeight="1" x14ac:dyDescent="0.2">
      <c r="A1117" s="30"/>
      <c r="B1117" s="46"/>
      <c r="C1117" s="41"/>
      <c r="D1117" s="41">
        <v>2</v>
      </c>
      <c r="E1117" s="90">
        <v>4.1500000000000004</v>
      </c>
      <c r="F1117" s="90"/>
      <c r="G1117" s="109">
        <v>2.2999999999999998</v>
      </c>
      <c r="H1117" s="89">
        <f t="shared" si="165"/>
        <v>19.09</v>
      </c>
      <c r="I1117" s="90"/>
      <c r="J1117" s="90"/>
      <c r="K1117" s="157"/>
      <c r="L1117" s="157"/>
      <c r="M1117" s="158"/>
      <c r="O1117" s="82">
        <f t="shared" si="164"/>
        <v>0</v>
      </c>
    </row>
    <row r="1118" spans="1:15" s="5" customFormat="1" ht="16.149999999999999" customHeight="1" x14ac:dyDescent="0.2">
      <c r="A1118" s="30"/>
      <c r="B1118" s="110" t="s">
        <v>480</v>
      </c>
      <c r="C1118" s="41"/>
      <c r="D1118" s="41"/>
      <c r="E1118" s="109"/>
      <c r="F1118" s="109"/>
      <c r="G1118" s="109"/>
      <c r="H1118" s="89">
        <f t="shared" si="165"/>
        <v>0</v>
      </c>
      <c r="I1118" s="89"/>
      <c r="K1118" s="157"/>
      <c r="L1118" s="157"/>
      <c r="M1118" s="158"/>
      <c r="O1118" s="82">
        <f t="shared" si="164"/>
        <v>0</v>
      </c>
    </row>
    <row r="1119" spans="1:15" ht="15.95" customHeight="1" x14ac:dyDescent="0.2">
      <c r="A1119" s="30"/>
      <c r="B1119" s="41" t="s">
        <v>424</v>
      </c>
      <c r="C1119" s="41"/>
      <c r="D1119" s="41">
        <v>-4</v>
      </c>
      <c r="E1119" s="90">
        <v>1.2</v>
      </c>
      <c r="F1119" s="90"/>
      <c r="G1119" s="90">
        <v>2.2000000000000002</v>
      </c>
      <c r="H1119" s="89">
        <f t="shared" si="165"/>
        <v>-10.56</v>
      </c>
      <c r="I1119" s="89"/>
      <c r="J1119" s="90"/>
      <c r="K1119" s="157"/>
      <c r="L1119" s="157"/>
      <c r="M1119" s="158"/>
      <c r="O1119" s="82">
        <f t="shared" si="164"/>
        <v>0</v>
      </c>
    </row>
    <row r="1120" spans="1:15" ht="15.95" customHeight="1" x14ac:dyDescent="0.2">
      <c r="A1120" s="30"/>
      <c r="B1120" s="41" t="s">
        <v>481</v>
      </c>
      <c r="C1120" s="41"/>
      <c r="D1120" s="41">
        <v>-24</v>
      </c>
      <c r="E1120" s="90">
        <v>0.8</v>
      </c>
      <c r="F1120" s="90"/>
      <c r="G1120" s="90">
        <v>2.2000000000000002</v>
      </c>
      <c r="H1120" s="89">
        <f t="shared" si="165"/>
        <v>-42.240000000000009</v>
      </c>
      <c r="I1120" s="89"/>
      <c r="J1120" s="108"/>
      <c r="K1120" s="157"/>
      <c r="L1120" s="157"/>
      <c r="M1120" s="158"/>
      <c r="O1120" s="82">
        <f t="shared" si="164"/>
        <v>0</v>
      </c>
    </row>
    <row r="1121" spans="1:15" ht="15.95" customHeight="1" x14ac:dyDescent="0.2">
      <c r="A1121" s="30"/>
      <c r="B1121" s="46"/>
      <c r="C1121" s="41"/>
      <c r="D1121" s="41"/>
      <c r="E1121" s="90"/>
      <c r="F1121" s="90"/>
      <c r="G1121" s="90"/>
      <c r="H1121" s="89"/>
      <c r="I1121" s="90">
        <f>SUM(H1113:H1121)</f>
        <v>280.92999999999995</v>
      </c>
      <c r="J1121" s="90"/>
      <c r="K1121" s="157"/>
      <c r="L1121" s="157"/>
      <c r="M1121" s="158"/>
      <c r="O1121" s="82">
        <f t="shared" si="164"/>
        <v>0</v>
      </c>
    </row>
    <row r="1122" spans="1:15" s="5" customFormat="1" ht="16.149999999999999" customHeight="1" x14ac:dyDescent="0.2">
      <c r="A1122" s="30"/>
      <c r="B1122" s="98" t="s">
        <v>467</v>
      </c>
      <c r="C1122" s="32"/>
      <c r="D1122" s="32"/>
      <c r="E1122" s="89"/>
      <c r="F1122" s="89"/>
      <c r="G1122" s="89"/>
      <c r="H1122" s="89">
        <f t="shared" ref="H1122" si="166">PRODUCT(D1122:G1122)</f>
        <v>0</v>
      </c>
      <c r="I1122" s="89"/>
      <c r="J1122" s="89"/>
      <c r="K1122" s="157"/>
      <c r="L1122" s="157"/>
      <c r="M1122" s="158"/>
      <c r="O1122" s="82">
        <f t="shared" si="164"/>
        <v>0</v>
      </c>
    </row>
    <row r="1123" spans="1:15" ht="15.95" customHeight="1" x14ac:dyDescent="0.2">
      <c r="A1123" s="40"/>
      <c r="B1123" s="46"/>
      <c r="C1123" s="41"/>
      <c r="D1123" s="41"/>
      <c r="E1123" s="90"/>
      <c r="F1123" s="90"/>
      <c r="G1123" s="90"/>
      <c r="H1123" s="90"/>
      <c r="I1123" s="90">
        <v>0</v>
      </c>
      <c r="J1123" s="90"/>
      <c r="K1123" s="163"/>
      <c r="L1123" s="163"/>
      <c r="M1123" s="158"/>
      <c r="O1123" s="82">
        <f t="shared" si="164"/>
        <v>0</v>
      </c>
    </row>
    <row r="1124" spans="1:15" ht="18" customHeight="1" x14ac:dyDescent="0.2">
      <c r="A1124" s="40"/>
      <c r="B1124" s="45"/>
      <c r="C1124" s="41"/>
      <c r="D1124" s="41"/>
      <c r="E1124" s="90"/>
      <c r="F1124" s="90"/>
      <c r="G1124" s="90"/>
      <c r="H1124" s="90"/>
      <c r="I1124" s="90"/>
      <c r="J1124" s="90"/>
      <c r="K1124" s="163"/>
      <c r="L1124" s="163"/>
      <c r="M1124" s="158"/>
      <c r="O1124" s="82">
        <f t="shared" si="164"/>
        <v>0</v>
      </c>
    </row>
    <row r="1125" spans="1:15" ht="15.95" customHeight="1" x14ac:dyDescent="0.2">
      <c r="A1125" s="30" t="s">
        <v>168</v>
      </c>
      <c r="B1125" s="48" t="s">
        <v>532</v>
      </c>
      <c r="C1125" s="41" t="s">
        <v>4</v>
      </c>
      <c r="D1125" s="41"/>
      <c r="E1125" s="90"/>
      <c r="F1125" s="90"/>
      <c r="G1125" s="90"/>
      <c r="H1125" s="89">
        <f t="shared" ref="H1125:H1126" si="167">PRODUCT(D1125:G1125)</f>
        <v>0</v>
      </c>
      <c r="I1125" s="90"/>
      <c r="J1125" s="90">
        <f>SUM(I1126:I1127)</f>
        <v>0</v>
      </c>
      <c r="K1125" s="163">
        <v>1.5</v>
      </c>
      <c r="L1125" s="163">
        <v>100</v>
      </c>
      <c r="M1125" s="158">
        <f t="shared" ref="M1125" si="168">+L1125*K1125</f>
        <v>150</v>
      </c>
      <c r="O1125" s="82">
        <f t="shared" si="164"/>
        <v>1.5</v>
      </c>
    </row>
    <row r="1126" spans="1:15" ht="15.95" customHeight="1" x14ac:dyDescent="0.2">
      <c r="A1126" s="30"/>
      <c r="B1126" s="46" t="s">
        <v>644</v>
      </c>
      <c r="C1126" s="41"/>
      <c r="D1126" s="32">
        <v>1</v>
      </c>
      <c r="E1126" s="89">
        <f>2.6+1.4</f>
        <v>4</v>
      </c>
      <c r="F1126" s="89">
        <v>0.8</v>
      </c>
      <c r="G1126" s="89"/>
      <c r="H1126" s="89">
        <f t="shared" si="167"/>
        <v>3.2</v>
      </c>
      <c r="I1126" s="90"/>
      <c r="J1126" s="90"/>
      <c r="K1126" s="157"/>
      <c r="L1126" s="157"/>
      <c r="M1126" s="158"/>
      <c r="O1126" s="82">
        <f t="shared" si="164"/>
        <v>0</v>
      </c>
    </row>
    <row r="1127" spans="1:15" ht="15.95" customHeight="1" x14ac:dyDescent="0.2">
      <c r="A1127" s="30"/>
      <c r="B1127" s="46" t="s">
        <v>531</v>
      </c>
      <c r="C1127" s="41"/>
      <c r="D1127" s="32">
        <v>1</v>
      </c>
      <c r="E1127" s="89">
        <v>1.2</v>
      </c>
      <c r="F1127" s="89">
        <v>0.8</v>
      </c>
      <c r="G1127" s="89"/>
      <c r="H1127" s="89">
        <f t="shared" ref="H1127" si="169">PRODUCT(D1127:G1127)</f>
        <v>0.96</v>
      </c>
      <c r="I1127" s="90"/>
      <c r="J1127" s="90"/>
      <c r="K1127" s="157"/>
      <c r="L1127" s="157"/>
      <c r="M1127" s="158"/>
      <c r="O1127" s="82">
        <f t="shared" si="164"/>
        <v>0</v>
      </c>
    </row>
    <row r="1128" spans="1:15" ht="15.95" customHeight="1" x14ac:dyDescent="0.2">
      <c r="A1128" s="40"/>
      <c r="B1128" s="46"/>
      <c r="C1128" s="41"/>
      <c r="D1128" s="41"/>
      <c r="E1128" s="90"/>
      <c r="F1128" s="90"/>
      <c r="G1128" s="90"/>
      <c r="H1128" s="90"/>
      <c r="I1128" s="90"/>
      <c r="J1128" s="90">
        <f>SUM(H1126:H1127)</f>
        <v>4.16</v>
      </c>
      <c r="K1128" s="163"/>
      <c r="L1128" s="163"/>
      <c r="M1128" s="158"/>
      <c r="O1128" s="82"/>
    </row>
    <row r="1129" spans="1:15" ht="15.95" customHeight="1" x14ac:dyDescent="0.2">
      <c r="A1129" s="40"/>
      <c r="B1129" s="46"/>
      <c r="C1129" s="41"/>
      <c r="D1129" s="41"/>
      <c r="E1129" s="90"/>
      <c r="F1129" s="90"/>
      <c r="G1129" s="90"/>
      <c r="H1129" s="90"/>
      <c r="I1129" s="90"/>
      <c r="J1129" s="90"/>
      <c r="K1129" s="163"/>
      <c r="L1129" s="163"/>
      <c r="M1129" s="158"/>
      <c r="O1129" s="82"/>
    </row>
    <row r="1130" spans="1:15" ht="15.95" customHeight="1" x14ac:dyDescent="0.2">
      <c r="A1130" s="40" t="s">
        <v>340</v>
      </c>
      <c r="B1130" s="55" t="s">
        <v>353</v>
      </c>
      <c r="C1130" s="41" t="s">
        <v>4</v>
      </c>
      <c r="D1130" s="41"/>
      <c r="E1130" s="90"/>
      <c r="F1130" s="90"/>
      <c r="G1130" s="90"/>
      <c r="H1130" s="90"/>
      <c r="I1130" s="90"/>
      <c r="J1130" s="90">
        <f>SUM(I1131:I1136)</f>
        <v>41.069999999999993</v>
      </c>
      <c r="K1130" s="163">
        <v>45</v>
      </c>
      <c r="L1130" s="163">
        <v>180</v>
      </c>
      <c r="M1130" s="158">
        <f t="shared" si="137"/>
        <v>8100</v>
      </c>
      <c r="N1130" s="10"/>
      <c r="O1130" s="82">
        <f t="shared" si="164"/>
        <v>3.9300000000000068</v>
      </c>
    </row>
    <row r="1131" spans="1:15" s="5" customFormat="1" ht="16.149999999999999" customHeight="1" x14ac:dyDescent="0.2">
      <c r="A1131" s="30"/>
      <c r="B1131" s="98" t="s">
        <v>465</v>
      </c>
      <c r="C1131" s="32"/>
      <c r="D1131" s="32"/>
      <c r="E1131" s="89"/>
      <c r="F1131" s="89"/>
      <c r="G1131" s="89"/>
      <c r="H1131" s="89">
        <f t="shared" ref="H1131" si="170">PRODUCT(D1131:G1131)</f>
        <v>0</v>
      </c>
      <c r="I1131" s="89"/>
      <c r="J1131" s="89"/>
      <c r="K1131" s="157"/>
      <c r="L1131" s="157"/>
      <c r="M1131" s="158"/>
      <c r="O1131" s="82">
        <f t="shared" si="164"/>
        <v>0</v>
      </c>
    </row>
    <row r="1132" spans="1:15" s="5" customFormat="1" ht="16.149999999999999" customHeight="1" x14ac:dyDescent="0.2">
      <c r="A1132" s="30"/>
      <c r="B1132" s="44" t="s">
        <v>485</v>
      </c>
      <c r="C1132" s="41"/>
      <c r="D1132" s="41">
        <v>1</v>
      </c>
      <c r="E1132" s="109">
        <v>5.0999999999999996</v>
      </c>
      <c r="F1132" s="109">
        <v>3.1</v>
      </c>
      <c r="G1132" s="109"/>
      <c r="H1132" s="89">
        <f>PRODUCT(D1132:G1132)</f>
        <v>15.809999999999999</v>
      </c>
      <c r="I1132" s="89"/>
      <c r="K1132" s="157"/>
      <c r="L1132" s="157"/>
      <c r="M1132" s="158"/>
      <c r="O1132" s="82">
        <f t="shared" si="164"/>
        <v>0</v>
      </c>
    </row>
    <row r="1133" spans="1:15" s="5" customFormat="1" ht="16.149999999999999" customHeight="1" x14ac:dyDescent="0.2">
      <c r="A1133" s="30"/>
      <c r="B1133" s="44" t="s">
        <v>479</v>
      </c>
      <c r="C1133" s="41"/>
      <c r="D1133" s="41">
        <v>1</v>
      </c>
      <c r="E1133" s="109">
        <v>4.3</v>
      </c>
      <c r="F1133" s="109">
        <v>2.9</v>
      </c>
      <c r="G1133" s="109"/>
      <c r="H1133" s="89">
        <f t="shared" ref="H1133:H1135" si="171">PRODUCT(D1133:G1133)</f>
        <v>12.469999999999999</v>
      </c>
      <c r="I1133" s="89"/>
      <c r="K1133" s="157"/>
      <c r="L1133" s="157"/>
      <c r="M1133" s="158"/>
      <c r="O1133" s="82">
        <f t="shared" si="164"/>
        <v>0</v>
      </c>
    </row>
    <row r="1134" spans="1:15" s="5" customFormat="1" ht="16.149999999999999" customHeight="1" x14ac:dyDescent="0.2">
      <c r="A1134" s="30"/>
      <c r="B1134" s="44" t="s">
        <v>496</v>
      </c>
      <c r="C1134" s="41"/>
      <c r="D1134" s="41">
        <v>1</v>
      </c>
      <c r="E1134" s="109">
        <v>2</v>
      </c>
      <c r="F1134" s="109">
        <v>3.6</v>
      </c>
      <c r="G1134" s="109"/>
      <c r="H1134" s="89">
        <f t="shared" si="171"/>
        <v>7.2</v>
      </c>
      <c r="I1134" s="89"/>
      <c r="K1134" s="157"/>
      <c r="L1134" s="157"/>
      <c r="M1134" s="158"/>
      <c r="O1134" s="82">
        <f t="shared" si="164"/>
        <v>0</v>
      </c>
    </row>
    <row r="1135" spans="1:15" s="5" customFormat="1" ht="16.149999999999999" customHeight="1" x14ac:dyDescent="0.2">
      <c r="A1135" s="30"/>
      <c r="B1135" s="44"/>
      <c r="C1135" s="41"/>
      <c r="D1135" s="41">
        <v>1</v>
      </c>
      <c r="E1135" s="109">
        <v>4.3</v>
      </c>
      <c r="F1135" s="109">
        <v>1.3</v>
      </c>
      <c r="G1135" s="109"/>
      <c r="H1135" s="89">
        <f t="shared" si="171"/>
        <v>5.59</v>
      </c>
      <c r="I1135" s="89"/>
      <c r="K1135" s="157"/>
      <c r="L1135" s="157"/>
      <c r="M1135" s="158"/>
      <c r="O1135" s="82">
        <f t="shared" si="164"/>
        <v>0</v>
      </c>
    </row>
    <row r="1136" spans="1:15" ht="15.95" customHeight="1" x14ac:dyDescent="0.2">
      <c r="A1136" s="30"/>
      <c r="B1136" s="46"/>
      <c r="C1136" s="41"/>
      <c r="D1136" s="41"/>
      <c r="E1136" s="90"/>
      <c r="F1136" s="90"/>
      <c r="G1136" s="90"/>
      <c r="H1136" s="89"/>
      <c r="I1136" s="90">
        <f>SUM(H1132:H1135)</f>
        <v>41.069999999999993</v>
      </c>
      <c r="J1136" s="90"/>
      <c r="K1136" s="157"/>
      <c r="L1136" s="157"/>
      <c r="M1136" s="158"/>
      <c r="O1136" s="82">
        <f t="shared" si="164"/>
        <v>0</v>
      </c>
    </row>
    <row r="1137" spans="1:15" ht="15.95" customHeight="1" x14ac:dyDescent="0.2">
      <c r="A1137" s="40" t="s">
        <v>341</v>
      </c>
      <c r="B1137" s="46" t="s">
        <v>504</v>
      </c>
      <c r="C1137" s="41" t="s">
        <v>4</v>
      </c>
      <c r="D1137" s="41"/>
      <c r="E1137" s="90"/>
      <c r="F1137" s="90"/>
      <c r="G1137" s="90"/>
      <c r="H1137" s="90"/>
      <c r="I1137" s="90"/>
      <c r="J1137" s="90">
        <f>SUM(I1141:I1177)</f>
        <v>745.6</v>
      </c>
      <c r="K1137" s="163">
        <v>750</v>
      </c>
      <c r="L1137" s="163">
        <v>120</v>
      </c>
      <c r="M1137" s="158">
        <f t="shared" si="137"/>
        <v>90000</v>
      </c>
      <c r="O1137" s="82">
        <f t="shared" si="164"/>
        <v>4.3999999999999773</v>
      </c>
    </row>
    <row r="1138" spans="1:15" ht="15.95" customHeight="1" x14ac:dyDescent="0.2">
      <c r="A1138" s="40"/>
      <c r="B1138" s="118" t="s">
        <v>505</v>
      </c>
      <c r="C1138" s="41"/>
      <c r="D1138" s="41"/>
      <c r="E1138" s="90"/>
      <c r="F1138" s="90"/>
      <c r="G1138" s="90"/>
      <c r="H1138" s="90"/>
      <c r="I1138" s="90"/>
      <c r="J1138" s="108"/>
      <c r="K1138" s="163"/>
      <c r="L1138" s="163"/>
      <c r="M1138" s="158"/>
      <c r="O1138" s="82">
        <f t="shared" si="164"/>
        <v>0</v>
      </c>
    </row>
    <row r="1139" spans="1:15" s="5" customFormat="1" ht="16.149999999999999" customHeight="1" x14ac:dyDescent="0.2">
      <c r="A1139" s="30"/>
      <c r="B1139" s="98" t="s">
        <v>464</v>
      </c>
      <c r="C1139" s="32"/>
      <c r="D1139" s="32"/>
      <c r="E1139" s="89"/>
      <c r="F1139" s="89"/>
      <c r="G1139" s="89"/>
      <c r="H1139" s="89"/>
      <c r="I1139" s="89"/>
      <c r="K1139" s="157"/>
      <c r="L1139" s="157"/>
      <c r="M1139" s="158"/>
      <c r="O1139" s="82">
        <f t="shared" si="164"/>
        <v>0</v>
      </c>
    </row>
    <row r="1140" spans="1:15" ht="16.5" customHeight="1" x14ac:dyDescent="0.2">
      <c r="A1140" s="40"/>
      <c r="B1140" s="143">
        <v>1</v>
      </c>
      <c r="C1140" s="41"/>
      <c r="D1140" s="41">
        <v>2</v>
      </c>
      <c r="E1140" s="90">
        <f>15.2+1*2</f>
        <v>17.2</v>
      </c>
      <c r="F1140" s="90"/>
      <c r="G1140" s="90">
        <v>1.2</v>
      </c>
      <c r="H1140" s="89">
        <f t="shared" ref="H1140:H1141" si="172">PRODUCT(D1140:G1140)</f>
        <v>41.279999999999994</v>
      </c>
      <c r="I1140" s="90"/>
      <c r="J1140" s="90"/>
      <c r="K1140" s="163"/>
      <c r="L1140" s="163"/>
      <c r="M1140" s="158"/>
      <c r="O1140" s="82">
        <f t="shared" si="164"/>
        <v>0</v>
      </c>
    </row>
    <row r="1141" spans="1:15" ht="16.5" customHeight="1" x14ac:dyDescent="0.2">
      <c r="A1141" s="40"/>
      <c r="B1141" s="45"/>
      <c r="C1141" s="41"/>
      <c r="D1141" s="41">
        <v>2</v>
      </c>
      <c r="E1141" s="90">
        <v>43.7</v>
      </c>
      <c r="F1141" s="90"/>
      <c r="G1141" s="90">
        <v>1.2</v>
      </c>
      <c r="H1141" s="89">
        <f t="shared" si="172"/>
        <v>104.88000000000001</v>
      </c>
      <c r="I1141" s="90"/>
      <c r="J1141" s="90"/>
      <c r="K1141" s="163"/>
      <c r="L1141" s="163"/>
      <c r="M1141" s="158"/>
      <c r="O1141" s="82">
        <f t="shared" si="164"/>
        <v>0</v>
      </c>
    </row>
    <row r="1142" spans="1:15" ht="16.5" customHeight="1" x14ac:dyDescent="0.2">
      <c r="A1142" s="40"/>
      <c r="B1142" s="45"/>
      <c r="C1142" s="41"/>
      <c r="D1142" s="41"/>
      <c r="E1142" s="90"/>
      <c r="F1142" s="90"/>
      <c r="G1142" s="90"/>
      <c r="H1142" s="89"/>
      <c r="I1142" s="90">
        <f>SUM(H1140:H1141)</f>
        <v>146.16</v>
      </c>
      <c r="J1142" s="90"/>
      <c r="K1142" s="163"/>
      <c r="L1142" s="163"/>
      <c r="M1142" s="158"/>
      <c r="O1142" s="82">
        <f t="shared" si="164"/>
        <v>0</v>
      </c>
    </row>
    <row r="1143" spans="1:15" s="5" customFormat="1" ht="16.149999999999999" customHeight="1" x14ac:dyDescent="0.2">
      <c r="A1143" s="30"/>
      <c r="B1143" s="98" t="s">
        <v>465</v>
      </c>
      <c r="C1143" s="32"/>
      <c r="D1143" s="32"/>
      <c r="E1143" s="89"/>
      <c r="F1143" s="89"/>
      <c r="G1143" s="89"/>
      <c r="H1143" s="89">
        <f t="shared" ref="H1143:H1155" si="173">PRODUCT(D1143:G1143)</f>
        <v>0</v>
      </c>
      <c r="I1143" s="89"/>
      <c r="J1143" s="89"/>
      <c r="K1143" s="157"/>
      <c r="L1143" s="157"/>
      <c r="M1143" s="158"/>
      <c r="O1143" s="82">
        <f t="shared" si="164"/>
        <v>0</v>
      </c>
    </row>
    <row r="1144" spans="1:15" ht="16.5" customHeight="1" x14ac:dyDescent="0.2">
      <c r="A1144" s="40"/>
      <c r="B1144" s="45"/>
      <c r="C1144" s="41"/>
      <c r="D1144" s="41">
        <v>2</v>
      </c>
      <c r="E1144" s="90">
        <f>10.7+1*2</f>
        <v>12.7</v>
      </c>
      <c r="F1144" s="90"/>
      <c r="G1144" s="90">
        <v>1.2</v>
      </c>
      <c r="H1144" s="89">
        <f t="shared" si="173"/>
        <v>30.479999999999997</v>
      </c>
      <c r="I1144" s="90"/>
      <c r="J1144" s="90"/>
      <c r="K1144" s="163"/>
      <c r="L1144" s="163"/>
      <c r="M1144" s="158"/>
      <c r="O1144" s="82">
        <f t="shared" si="164"/>
        <v>0</v>
      </c>
    </row>
    <row r="1145" spans="1:15" ht="16.5" customHeight="1" x14ac:dyDescent="0.2">
      <c r="A1145" s="40"/>
      <c r="B1145" s="45"/>
      <c r="C1145" s="41"/>
      <c r="D1145" s="41">
        <v>2</v>
      </c>
      <c r="E1145" s="90">
        <f>9.6</f>
        <v>9.6</v>
      </c>
      <c r="F1145" s="90"/>
      <c r="G1145" s="90">
        <v>1.2</v>
      </c>
      <c r="H1145" s="89">
        <f t="shared" si="173"/>
        <v>23.04</v>
      </c>
      <c r="I1145" s="90"/>
      <c r="J1145" s="90"/>
      <c r="K1145" s="163"/>
      <c r="L1145" s="163"/>
      <c r="M1145" s="158"/>
      <c r="O1145" s="82">
        <f t="shared" si="164"/>
        <v>0</v>
      </c>
    </row>
    <row r="1146" spans="1:15" ht="16.5" customHeight="1" x14ac:dyDescent="0.2">
      <c r="A1146" s="40"/>
      <c r="B1146" s="45"/>
      <c r="C1146" s="41"/>
      <c r="D1146" s="41"/>
      <c r="E1146" s="90"/>
      <c r="F1146" s="90"/>
      <c r="G1146" s="90"/>
      <c r="H1146" s="89">
        <f t="shared" si="173"/>
        <v>0</v>
      </c>
      <c r="I1146" s="90">
        <f>SUM(H1144:H1146)</f>
        <v>53.519999999999996</v>
      </c>
      <c r="J1146" s="90"/>
      <c r="K1146" s="163"/>
      <c r="L1146" s="163"/>
      <c r="M1146" s="158"/>
      <c r="O1146" s="82">
        <f t="shared" si="164"/>
        <v>0</v>
      </c>
    </row>
    <row r="1147" spans="1:15" s="5" customFormat="1" ht="16.149999999999999" customHeight="1" x14ac:dyDescent="0.2">
      <c r="A1147" s="30"/>
      <c r="B1147" s="98" t="s">
        <v>530</v>
      </c>
      <c r="C1147" s="32"/>
      <c r="D1147" s="32"/>
      <c r="E1147" s="89"/>
      <c r="F1147" s="89"/>
      <c r="G1147" s="89"/>
      <c r="H1147" s="89">
        <f t="shared" si="173"/>
        <v>0</v>
      </c>
      <c r="I1147" s="89"/>
      <c r="J1147" s="89"/>
      <c r="K1147" s="157"/>
      <c r="L1147" s="157"/>
      <c r="M1147" s="158"/>
      <c r="O1147" s="82">
        <f t="shared" si="164"/>
        <v>0</v>
      </c>
    </row>
    <row r="1148" spans="1:15" ht="16.5" customHeight="1" x14ac:dyDescent="0.2">
      <c r="A1148" s="40"/>
      <c r="B1148" s="45"/>
      <c r="C1148" s="41"/>
      <c r="D1148" s="41">
        <v>2</v>
      </c>
      <c r="E1148" s="90">
        <f>11.1+1*2</f>
        <v>13.1</v>
      </c>
      <c r="F1148" s="90"/>
      <c r="G1148" s="90">
        <v>1.2</v>
      </c>
      <c r="H1148" s="89">
        <f t="shared" si="173"/>
        <v>31.439999999999998</v>
      </c>
      <c r="I1148" s="90"/>
      <c r="J1148" s="90"/>
      <c r="K1148" s="163"/>
      <c r="L1148" s="163"/>
      <c r="M1148" s="158"/>
      <c r="O1148" s="82">
        <f t="shared" si="164"/>
        <v>0</v>
      </c>
    </row>
    <row r="1149" spans="1:15" ht="16.5" customHeight="1" x14ac:dyDescent="0.2">
      <c r="A1149" s="40"/>
      <c r="B1149" s="45"/>
      <c r="C1149" s="41"/>
      <c r="D1149" s="41">
        <v>2</v>
      </c>
      <c r="E1149" s="90">
        <f>9.75</f>
        <v>9.75</v>
      </c>
      <c r="F1149" s="90"/>
      <c r="G1149" s="90">
        <v>1.2</v>
      </c>
      <c r="H1149" s="89">
        <f t="shared" si="173"/>
        <v>23.4</v>
      </c>
      <c r="I1149" s="90"/>
      <c r="J1149" s="90"/>
      <c r="K1149" s="163"/>
      <c r="L1149" s="163"/>
      <c r="M1149" s="158"/>
      <c r="O1149" s="82">
        <f t="shared" si="164"/>
        <v>0</v>
      </c>
    </row>
    <row r="1150" spans="1:15" ht="16.5" customHeight="1" x14ac:dyDescent="0.2">
      <c r="A1150" s="40"/>
      <c r="B1150" s="45"/>
      <c r="C1150" s="41"/>
      <c r="D1150" s="41">
        <v>2</v>
      </c>
      <c r="E1150" s="90">
        <v>0.35</v>
      </c>
      <c r="F1150" s="90"/>
      <c r="G1150" s="90">
        <v>1.2</v>
      </c>
      <c r="H1150" s="89">
        <f t="shared" si="173"/>
        <v>0.84</v>
      </c>
      <c r="I1150" s="90"/>
      <c r="J1150" s="90"/>
      <c r="K1150" s="163"/>
      <c r="L1150" s="163"/>
      <c r="M1150" s="158"/>
      <c r="O1150" s="82">
        <f t="shared" si="164"/>
        <v>0</v>
      </c>
    </row>
    <row r="1151" spans="1:15" ht="16.5" customHeight="1" x14ac:dyDescent="0.2">
      <c r="A1151" s="40"/>
      <c r="B1151" s="45"/>
      <c r="C1151" s="41"/>
      <c r="D1151" s="41"/>
      <c r="E1151" s="90"/>
      <c r="F1151" s="90"/>
      <c r="G1151" s="90"/>
      <c r="H1151" s="89">
        <f t="shared" si="173"/>
        <v>0</v>
      </c>
      <c r="I1151" s="90">
        <f>SUM(H1148:H1150)</f>
        <v>55.68</v>
      </c>
      <c r="J1151" s="90"/>
      <c r="K1151" s="163"/>
      <c r="L1151" s="163"/>
      <c r="M1151" s="158"/>
      <c r="O1151" s="82">
        <f t="shared" si="164"/>
        <v>0</v>
      </c>
    </row>
    <row r="1152" spans="1:15" s="5" customFormat="1" ht="16.149999999999999" customHeight="1" x14ac:dyDescent="0.2">
      <c r="A1152" s="30"/>
      <c r="B1152" s="98" t="s">
        <v>466</v>
      </c>
      <c r="C1152" s="32"/>
      <c r="D1152" s="32"/>
      <c r="E1152" s="89"/>
      <c r="F1152" s="89"/>
      <c r="G1152" s="89"/>
      <c r="H1152" s="89">
        <f t="shared" si="173"/>
        <v>0</v>
      </c>
      <c r="I1152" s="89"/>
      <c r="J1152" s="89"/>
      <c r="K1152" s="157"/>
      <c r="L1152" s="157"/>
      <c r="M1152" s="158"/>
      <c r="O1152" s="82">
        <f t="shared" si="164"/>
        <v>0</v>
      </c>
    </row>
    <row r="1153" spans="1:15" ht="16.5" customHeight="1" x14ac:dyDescent="0.2">
      <c r="A1153" s="40"/>
      <c r="B1153" s="45"/>
      <c r="C1153" s="41"/>
      <c r="D1153" s="41">
        <v>2</v>
      </c>
      <c r="E1153" s="90">
        <f>8.8+1*2</f>
        <v>10.8</v>
      </c>
      <c r="F1153" s="90"/>
      <c r="G1153" s="90">
        <v>1.2</v>
      </c>
      <c r="H1153" s="89">
        <f t="shared" si="173"/>
        <v>25.92</v>
      </c>
      <c r="I1153" s="90"/>
      <c r="J1153" s="90"/>
      <c r="K1153" s="163"/>
      <c r="L1153" s="163"/>
      <c r="M1153" s="158"/>
      <c r="O1153" s="82">
        <f t="shared" si="164"/>
        <v>0</v>
      </c>
    </row>
    <row r="1154" spans="1:15" ht="16.5" customHeight="1" x14ac:dyDescent="0.2">
      <c r="A1154" s="40"/>
      <c r="B1154" s="45"/>
      <c r="C1154" s="41"/>
      <c r="D1154" s="41">
        <v>2</v>
      </c>
      <c r="E1154" s="90">
        <v>9.4</v>
      </c>
      <c r="F1154" s="90"/>
      <c r="G1154" s="90">
        <v>1.2</v>
      </c>
      <c r="H1154" s="89">
        <f t="shared" si="173"/>
        <v>22.56</v>
      </c>
      <c r="I1154" s="90"/>
      <c r="J1154" s="90"/>
      <c r="K1154" s="163"/>
      <c r="L1154" s="163"/>
      <c r="M1154" s="158"/>
      <c r="O1154" s="82">
        <f t="shared" si="164"/>
        <v>0</v>
      </c>
    </row>
    <row r="1155" spans="1:15" ht="16.5" customHeight="1" x14ac:dyDescent="0.2">
      <c r="A1155" s="40"/>
      <c r="B1155" s="45"/>
      <c r="C1155" s="41"/>
      <c r="D1155" s="41"/>
      <c r="E1155" s="90"/>
      <c r="F1155" s="90"/>
      <c r="G1155" s="90"/>
      <c r="H1155" s="89">
        <f t="shared" si="173"/>
        <v>0</v>
      </c>
      <c r="I1155" s="90">
        <f>SUM(H1153:H1154)</f>
        <v>48.480000000000004</v>
      </c>
      <c r="J1155" s="90"/>
      <c r="K1155" s="163"/>
      <c r="L1155" s="163"/>
      <c r="M1155" s="158"/>
      <c r="O1155" s="82">
        <f t="shared" si="164"/>
        <v>0</v>
      </c>
    </row>
    <row r="1156" spans="1:15" s="5" customFormat="1" ht="16.149999999999999" customHeight="1" x14ac:dyDescent="0.2">
      <c r="A1156" s="30"/>
      <c r="B1156" s="98" t="s">
        <v>467</v>
      </c>
      <c r="C1156" s="32"/>
      <c r="D1156" s="32"/>
      <c r="E1156" s="89"/>
      <c r="F1156" s="89"/>
      <c r="G1156" s="89"/>
      <c r="H1156" s="89"/>
      <c r="I1156" s="89"/>
      <c r="J1156" s="89"/>
      <c r="K1156" s="157"/>
      <c r="L1156" s="157"/>
      <c r="M1156" s="158"/>
      <c r="O1156" s="82">
        <f t="shared" si="164"/>
        <v>0</v>
      </c>
    </row>
    <row r="1157" spans="1:15" ht="16.5" customHeight="1" x14ac:dyDescent="0.2">
      <c r="A1157" s="40"/>
      <c r="B1157" s="45"/>
      <c r="C1157" s="41"/>
      <c r="D1157" s="32">
        <v>2</v>
      </c>
      <c r="E1157" s="89">
        <f>2.4+1*2</f>
        <v>4.4000000000000004</v>
      </c>
      <c r="F1157" s="89"/>
      <c r="G1157" s="90">
        <v>1.2</v>
      </c>
      <c r="H1157" s="89">
        <f t="shared" ref="H1157:H1159" si="174">PRODUCT(D1157:G1157)</f>
        <v>10.56</v>
      </c>
      <c r="I1157" s="90"/>
      <c r="J1157" s="90"/>
      <c r="K1157" s="163"/>
      <c r="L1157" s="163"/>
      <c r="M1157" s="158"/>
      <c r="O1157" s="82">
        <f t="shared" si="164"/>
        <v>0</v>
      </c>
    </row>
    <row r="1158" spans="1:15" ht="16.5" customHeight="1" x14ac:dyDescent="0.2">
      <c r="A1158" s="40"/>
      <c r="B1158" s="45"/>
      <c r="C1158" s="41"/>
      <c r="D1158" s="32">
        <v>2</v>
      </c>
      <c r="E1158" s="89">
        <v>3</v>
      </c>
      <c r="F1158" s="89"/>
      <c r="G1158" s="90">
        <v>1.2</v>
      </c>
      <c r="H1158" s="89">
        <f t="shared" si="174"/>
        <v>7.1999999999999993</v>
      </c>
      <c r="I1158" s="90"/>
      <c r="J1158" s="90"/>
      <c r="K1158" s="163"/>
      <c r="L1158" s="163"/>
      <c r="M1158" s="158"/>
      <c r="O1158" s="82">
        <f t="shared" si="164"/>
        <v>0</v>
      </c>
    </row>
    <row r="1159" spans="1:15" ht="16.5" customHeight="1" x14ac:dyDescent="0.2">
      <c r="A1159" s="40"/>
      <c r="B1159" s="45"/>
      <c r="C1159" s="41"/>
      <c r="D1159" s="41"/>
      <c r="E1159" s="90"/>
      <c r="F1159" s="90"/>
      <c r="G1159" s="90"/>
      <c r="H1159" s="89">
        <f t="shared" si="174"/>
        <v>0</v>
      </c>
      <c r="I1159" s="90">
        <f>SUM(H1156:H1158)</f>
        <v>17.759999999999998</v>
      </c>
      <c r="J1159" s="90"/>
      <c r="K1159" s="163"/>
      <c r="L1159" s="163"/>
      <c r="M1159" s="158"/>
      <c r="O1159" s="82">
        <f t="shared" si="164"/>
        <v>0</v>
      </c>
    </row>
    <row r="1160" spans="1:15" ht="16.5" customHeight="1" x14ac:dyDescent="0.2">
      <c r="A1160" s="40"/>
      <c r="B1160" s="45"/>
      <c r="C1160" s="41"/>
      <c r="D1160" s="41"/>
      <c r="E1160" s="90"/>
      <c r="F1160" s="90"/>
      <c r="G1160" s="90"/>
      <c r="H1160" s="89">
        <f t="shared" ref="H1160:H1176" si="175">PRODUCT(D1160:G1160)</f>
        <v>0</v>
      </c>
      <c r="I1160" s="90"/>
      <c r="J1160" s="90"/>
      <c r="K1160" s="163"/>
      <c r="L1160" s="163"/>
      <c r="M1160" s="158"/>
      <c r="O1160" s="82">
        <f t="shared" si="164"/>
        <v>0</v>
      </c>
    </row>
    <row r="1161" spans="1:15" ht="16.5" customHeight="1" x14ac:dyDescent="0.2">
      <c r="A1161" s="40"/>
      <c r="B1161" s="119" t="s">
        <v>506</v>
      </c>
      <c r="C1161" s="41"/>
      <c r="D1161" s="41"/>
      <c r="E1161" s="90"/>
      <c r="F1161" s="90"/>
      <c r="G1161" s="90"/>
      <c r="H1161" s="89">
        <f t="shared" si="175"/>
        <v>0</v>
      </c>
      <c r="I1161" s="90"/>
      <c r="J1161" s="90"/>
      <c r="K1161" s="163"/>
      <c r="L1161" s="163"/>
      <c r="M1161" s="158"/>
      <c r="O1161" s="82">
        <f t="shared" si="164"/>
        <v>0</v>
      </c>
    </row>
    <row r="1162" spans="1:15" ht="16.5" customHeight="1" x14ac:dyDescent="0.2">
      <c r="A1162" s="40"/>
      <c r="B1162" s="45"/>
      <c r="C1162" s="41"/>
      <c r="D1162" s="41">
        <v>2</v>
      </c>
      <c r="E1162" s="90">
        <f>35.5+2</f>
        <v>37.5</v>
      </c>
      <c r="F1162" s="90"/>
      <c r="G1162" s="90">
        <v>1</v>
      </c>
      <c r="H1162" s="89">
        <f t="shared" si="175"/>
        <v>75</v>
      </c>
      <c r="I1162" s="90"/>
      <c r="J1162" s="90"/>
      <c r="K1162" s="163"/>
      <c r="L1162" s="163"/>
      <c r="M1162" s="158"/>
      <c r="O1162" s="82">
        <f t="shared" si="164"/>
        <v>0</v>
      </c>
    </row>
    <row r="1163" spans="1:15" ht="16.5" customHeight="1" x14ac:dyDescent="0.2">
      <c r="A1163" s="40"/>
      <c r="B1163" s="45"/>
      <c r="C1163" s="41"/>
      <c r="D1163" s="41">
        <v>2</v>
      </c>
      <c r="E1163" s="90">
        <v>10.6</v>
      </c>
      <c r="F1163" s="90"/>
      <c r="G1163" s="90">
        <v>1</v>
      </c>
      <c r="H1163" s="89">
        <f t="shared" si="175"/>
        <v>21.2</v>
      </c>
      <c r="I1163" s="90"/>
      <c r="J1163" s="90"/>
      <c r="K1163" s="163"/>
      <c r="L1163" s="163"/>
      <c r="M1163" s="158"/>
      <c r="O1163" s="82">
        <f t="shared" ref="O1163:O1226" si="176">K1163-J1163</f>
        <v>0</v>
      </c>
    </row>
    <row r="1164" spans="1:15" ht="16.5" customHeight="1" x14ac:dyDescent="0.2">
      <c r="A1164" s="40"/>
      <c r="B1164" s="45"/>
      <c r="C1164" s="41"/>
      <c r="D1164" s="41">
        <v>2</v>
      </c>
      <c r="E1164" s="90">
        <f>19.3+1*2</f>
        <v>21.3</v>
      </c>
      <c r="F1164" s="90"/>
      <c r="G1164" s="90">
        <v>1</v>
      </c>
      <c r="H1164" s="89">
        <f t="shared" si="175"/>
        <v>42.6</v>
      </c>
      <c r="I1164" s="90"/>
      <c r="J1164" s="90"/>
      <c r="K1164" s="163"/>
      <c r="L1164" s="163"/>
      <c r="M1164" s="158"/>
      <c r="O1164" s="82">
        <f t="shared" si="176"/>
        <v>0</v>
      </c>
    </row>
    <row r="1165" spans="1:15" ht="16.5" customHeight="1" x14ac:dyDescent="0.2">
      <c r="A1165" s="40"/>
      <c r="B1165" s="45"/>
      <c r="C1165" s="41"/>
      <c r="D1165" s="41">
        <v>2</v>
      </c>
      <c r="E1165" s="90">
        <v>8.6999999999999993</v>
      </c>
      <c r="F1165" s="90"/>
      <c r="G1165" s="90">
        <v>1</v>
      </c>
      <c r="H1165" s="89">
        <f t="shared" si="175"/>
        <v>17.399999999999999</v>
      </c>
      <c r="I1165" s="90"/>
      <c r="J1165" s="90"/>
      <c r="K1165" s="163"/>
      <c r="L1165" s="163"/>
      <c r="M1165" s="158"/>
      <c r="O1165" s="82">
        <f t="shared" si="176"/>
        <v>0</v>
      </c>
    </row>
    <row r="1166" spans="1:15" ht="16.5" customHeight="1" x14ac:dyDescent="0.2">
      <c r="A1166" s="40"/>
      <c r="B1166" s="45"/>
      <c r="C1166" s="41"/>
      <c r="D1166" s="41">
        <v>2</v>
      </c>
      <c r="E1166" s="90">
        <f>19.15+1*2</f>
        <v>21.15</v>
      </c>
      <c r="F1166" s="90"/>
      <c r="G1166" s="90">
        <v>1</v>
      </c>
      <c r="H1166" s="89">
        <f t="shared" si="175"/>
        <v>42.3</v>
      </c>
      <c r="I1166" s="90"/>
      <c r="J1166" s="90"/>
      <c r="K1166" s="163"/>
      <c r="L1166" s="163"/>
      <c r="M1166" s="158"/>
      <c r="O1166" s="82">
        <f t="shared" si="176"/>
        <v>0</v>
      </c>
    </row>
    <row r="1167" spans="1:15" ht="16.5" customHeight="1" x14ac:dyDescent="0.2">
      <c r="A1167" s="40"/>
      <c r="B1167" s="45"/>
      <c r="C1167" s="41"/>
      <c r="D1167" s="41">
        <v>2</v>
      </c>
      <c r="E1167" s="90">
        <v>8.6999999999999993</v>
      </c>
      <c r="F1167" s="90"/>
      <c r="G1167" s="90">
        <v>1</v>
      </c>
      <c r="H1167" s="89">
        <f t="shared" si="175"/>
        <v>17.399999999999999</v>
      </c>
      <c r="I1167" s="90"/>
      <c r="J1167" s="90"/>
      <c r="K1167" s="163"/>
      <c r="L1167" s="163"/>
      <c r="M1167" s="158"/>
      <c r="O1167" s="82">
        <f t="shared" si="176"/>
        <v>0</v>
      </c>
    </row>
    <row r="1168" spans="1:15" ht="16.5" customHeight="1" x14ac:dyDescent="0.2">
      <c r="A1168" s="40"/>
      <c r="B1168" s="45"/>
      <c r="C1168" s="41"/>
      <c r="D1168" s="41">
        <v>2</v>
      </c>
      <c r="E1168" s="90">
        <f>20.8+1*2</f>
        <v>22.8</v>
      </c>
      <c r="F1168" s="90"/>
      <c r="G1168" s="90">
        <v>1</v>
      </c>
      <c r="H1168" s="89">
        <f t="shared" si="175"/>
        <v>45.6</v>
      </c>
      <c r="I1168" s="90"/>
      <c r="J1168" s="90"/>
      <c r="K1168" s="163"/>
      <c r="L1168" s="163"/>
      <c r="M1168" s="158"/>
      <c r="O1168" s="82">
        <f t="shared" si="176"/>
        <v>0</v>
      </c>
    </row>
    <row r="1169" spans="1:15" ht="16.5" customHeight="1" x14ac:dyDescent="0.2">
      <c r="A1169" s="40"/>
      <c r="B1169" s="45"/>
      <c r="C1169" s="41"/>
      <c r="D1169" s="41">
        <v>2</v>
      </c>
      <c r="E1169" s="90">
        <v>7.1</v>
      </c>
      <c r="F1169" s="90"/>
      <c r="G1169" s="90">
        <v>1</v>
      </c>
      <c r="H1169" s="89">
        <f t="shared" si="175"/>
        <v>14.2</v>
      </c>
      <c r="I1169" s="90"/>
      <c r="J1169" s="90"/>
      <c r="K1169" s="163"/>
      <c r="L1169" s="163"/>
      <c r="M1169" s="158"/>
      <c r="O1169" s="82">
        <f t="shared" si="176"/>
        <v>0</v>
      </c>
    </row>
    <row r="1170" spans="1:15" ht="16.5" customHeight="1" x14ac:dyDescent="0.2">
      <c r="A1170" s="40"/>
      <c r="B1170" s="45"/>
      <c r="C1170" s="41"/>
      <c r="D1170" s="41">
        <v>2</v>
      </c>
      <c r="E1170" s="90">
        <f>25.9+1*2</f>
        <v>27.9</v>
      </c>
      <c r="F1170" s="90"/>
      <c r="G1170" s="90">
        <v>1</v>
      </c>
      <c r="H1170" s="89">
        <f t="shared" si="175"/>
        <v>55.8</v>
      </c>
      <c r="I1170" s="90"/>
      <c r="J1170" s="90"/>
      <c r="K1170" s="163"/>
      <c r="L1170" s="163"/>
      <c r="M1170" s="158"/>
      <c r="O1170" s="82">
        <f t="shared" si="176"/>
        <v>0</v>
      </c>
    </row>
    <row r="1171" spans="1:15" ht="16.5" customHeight="1" x14ac:dyDescent="0.2">
      <c r="A1171" s="40"/>
      <c r="B1171" s="45"/>
      <c r="C1171" s="41"/>
      <c r="D1171" s="41">
        <v>2</v>
      </c>
      <c r="E1171" s="90">
        <f>8.6</f>
        <v>8.6</v>
      </c>
      <c r="F1171" s="90"/>
      <c r="G1171" s="90">
        <v>1</v>
      </c>
      <c r="H1171" s="89">
        <f t="shared" si="175"/>
        <v>17.2</v>
      </c>
      <c r="I1171" s="90"/>
      <c r="J1171" s="90"/>
      <c r="K1171" s="163"/>
      <c r="L1171" s="163"/>
      <c r="M1171" s="158"/>
      <c r="O1171" s="82">
        <f t="shared" si="176"/>
        <v>0</v>
      </c>
    </row>
    <row r="1172" spans="1:15" ht="16.5" customHeight="1" x14ac:dyDescent="0.2">
      <c r="A1172" s="40"/>
      <c r="B1172" s="45"/>
      <c r="C1172" s="41"/>
      <c r="D1172" s="41">
        <v>2</v>
      </c>
      <c r="E1172" s="90">
        <f>12.9+1*2</f>
        <v>14.9</v>
      </c>
      <c r="F1172" s="90"/>
      <c r="G1172" s="90">
        <v>1</v>
      </c>
      <c r="H1172" s="89">
        <f t="shared" si="175"/>
        <v>29.8</v>
      </c>
      <c r="I1172" s="90"/>
      <c r="J1172" s="90"/>
      <c r="K1172" s="163"/>
      <c r="L1172" s="163"/>
      <c r="M1172" s="158"/>
      <c r="O1172" s="82">
        <f t="shared" si="176"/>
        <v>0</v>
      </c>
    </row>
    <row r="1173" spans="1:15" ht="16.5" customHeight="1" x14ac:dyDescent="0.2">
      <c r="A1173" s="40"/>
      <c r="B1173" s="45"/>
      <c r="C1173" s="41"/>
      <c r="D1173" s="41">
        <v>2</v>
      </c>
      <c r="E1173" s="90">
        <v>10.55</v>
      </c>
      <c r="F1173" s="90"/>
      <c r="G1173" s="90">
        <v>1</v>
      </c>
      <c r="H1173" s="89">
        <f t="shared" si="175"/>
        <v>21.1</v>
      </c>
      <c r="I1173" s="90"/>
      <c r="J1173" s="90"/>
      <c r="K1173" s="163"/>
      <c r="L1173" s="163"/>
      <c r="M1173" s="158"/>
      <c r="O1173" s="82">
        <f t="shared" si="176"/>
        <v>0</v>
      </c>
    </row>
    <row r="1174" spans="1:15" ht="16.5" customHeight="1" x14ac:dyDescent="0.2">
      <c r="A1174" s="40"/>
      <c r="B1174" s="45"/>
      <c r="C1174" s="41"/>
      <c r="D1174" s="41">
        <v>2</v>
      </c>
      <c r="E1174" s="90">
        <f>5.6+1*2</f>
        <v>7.6</v>
      </c>
      <c r="F1174" s="90"/>
      <c r="G1174" s="90">
        <v>1</v>
      </c>
      <c r="H1174" s="89">
        <f t="shared" si="175"/>
        <v>15.2</v>
      </c>
      <c r="I1174" s="90"/>
      <c r="J1174" s="90"/>
      <c r="K1174" s="163"/>
      <c r="L1174" s="163"/>
      <c r="M1174" s="158"/>
      <c r="O1174" s="82">
        <f t="shared" si="176"/>
        <v>0</v>
      </c>
    </row>
    <row r="1175" spans="1:15" ht="16.5" customHeight="1" x14ac:dyDescent="0.2">
      <c r="A1175" s="40"/>
      <c r="B1175" s="45"/>
      <c r="C1175" s="41"/>
      <c r="D1175" s="41">
        <v>2</v>
      </c>
      <c r="E1175" s="90">
        <v>4.5999999999999996</v>
      </c>
      <c r="F1175" s="90"/>
      <c r="G1175" s="90">
        <v>1</v>
      </c>
      <c r="H1175" s="89">
        <f t="shared" si="175"/>
        <v>9.1999999999999993</v>
      </c>
      <c r="I1175" s="90"/>
      <c r="J1175" s="90"/>
      <c r="K1175" s="163"/>
      <c r="L1175" s="163"/>
      <c r="M1175" s="158"/>
      <c r="O1175" s="82">
        <f t="shared" si="176"/>
        <v>0</v>
      </c>
    </row>
    <row r="1176" spans="1:15" ht="16.5" customHeight="1" x14ac:dyDescent="0.2">
      <c r="A1176" s="40"/>
      <c r="B1176" s="45"/>
      <c r="C1176" s="41"/>
      <c r="D1176" s="41"/>
      <c r="E1176" s="90"/>
      <c r="F1176" s="90"/>
      <c r="G1176" s="90"/>
      <c r="H1176" s="89">
        <f t="shared" si="175"/>
        <v>0</v>
      </c>
      <c r="I1176" s="90">
        <f>SUM(H1162:H1175)</f>
        <v>424</v>
      </c>
      <c r="J1176" s="90"/>
      <c r="K1176" s="163"/>
      <c r="L1176" s="163"/>
      <c r="M1176" s="158"/>
      <c r="O1176" s="82">
        <f t="shared" si="176"/>
        <v>0</v>
      </c>
    </row>
    <row r="1177" spans="1:15" ht="15.95" customHeight="1" x14ac:dyDescent="0.2">
      <c r="A1177" s="40" t="s">
        <v>204</v>
      </c>
      <c r="B1177" s="46" t="s">
        <v>370</v>
      </c>
      <c r="C1177" s="41" t="s">
        <v>4</v>
      </c>
      <c r="D1177" s="41"/>
      <c r="E1177" s="90"/>
      <c r="F1177" s="90"/>
      <c r="G1177" s="90"/>
      <c r="H1177" s="90"/>
      <c r="I1177" s="90"/>
      <c r="J1177" s="90">
        <f>SUM(I1180)</f>
        <v>2345</v>
      </c>
      <c r="K1177" s="163">
        <v>2345</v>
      </c>
      <c r="L1177" s="163">
        <v>140</v>
      </c>
      <c r="M1177" s="158">
        <f t="shared" si="137"/>
        <v>328300</v>
      </c>
      <c r="O1177" s="82">
        <f t="shared" si="176"/>
        <v>0</v>
      </c>
    </row>
    <row r="1178" spans="1:15" ht="15.95" customHeight="1" x14ac:dyDescent="0.2">
      <c r="A1178" s="40"/>
      <c r="B1178" s="118" t="s">
        <v>555</v>
      </c>
      <c r="C1178" s="41"/>
      <c r="D1178" s="41"/>
      <c r="E1178" s="90"/>
      <c r="F1178" s="90"/>
      <c r="G1178" s="90"/>
      <c r="H1178" s="90"/>
      <c r="I1178" s="90"/>
      <c r="J1178" s="90"/>
      <c r="K1178" s="163"/>
      <c r="L1178" s="163"/>
      <c r="M1178" s="158"/>
      <c r="O1178" s="82">
        <f t="shared" si="176"/>
        <v>0</v>
      </c>
    </row>
    <row r="1179" spans="1:15" ht="16.5" customHeight="1" x14ac:dyDescent="0.2">
      <c r="A1179" s="40"/>
      <c r="B1179" s="45"/>
      <c r="C1179" s="41"/>
      <c r="D1179" s="41">
        <v>1</v>
      </c>
      <c r="E1179" s="90">
        <f>1874+471</f>
        <v>2345</v>
      </c>
      <c r="F1179" s="90"/>
      <c r="G1179" s="90">
        <v>1</v>
      </c>
      <c r="H1179" s="89">
        <f t="shared" ref="H1179" si="177">PRODUCT(D1179:G1179)</f>
        <v>2345</v>
      </c>
      <c r="I1179" s="90"/>
      <c r="J1179" s="90"/>
      <c r="K1179" s="163"/>
      <c r="L1179" s="163"/>
      <c r="M1179" s="158"/>
      <c r="O1179" s="82">
        <f t="shared" si="176"/>
        <v>0</v>
      </c>
    </row>
    <row r="1180" spans="1:15" ht="15.95" customHeight="1" x14ac:dyDescent="0.2">
      <c r="A1180" s="40"/>
      <c r="B1180" s="46"/>
      <c r="C1180" s="41"/>
      <c r="D1180" s="41"/>
      <c r="E1180" s="90"/>
      <c r="F1180" s="90"/>
      <c r="G1180" s="90"/>
      <c r="H1180" s="90"/>
      <c r="I1180" s="90">
        <f>SUM(H1178:H1179)</f>
        <v>2345</v>
      </c>
      <c r="J1180" s="90"/>
      <c r="K1180" s="163"/>
      <c r="L1180" s="163"/>
      <c r="M1180" s="158"/>
      <c r="O1180" s="82">
        <f t="shared" si="176"/>
        <v>0</v>
      </c>
    </row>
    <row r="1181" spans="1:15" ht="15.95" customHeight="1" x14ac:dyDescent="0.2">
      <c r="A1181" s="40"/>
      <c r="B1181" s="46"/>
      <c r="C1181" s="41"/>
      <c r="D1181" s="41"/>
      <c r="E1181" s="90"/>
      <c r="F1181" s="90"/>
      <c r="G1181" s="90"/>
      <c r="H1181" s="90"/>
      <c r="I1181" s="90"/>
      <c r="J1181" s="90"/>
      <c r="K1181" s="163"/>
      <c r="L1181" s="163"/>
      <c r="M1181" s="158"/>
      <c r="O1181" s="82">
        <f t="shared" si="176"/>
        <v>0</v>
      </c>
    </row>
    <row r="1182" spans="1:15" ht="15.95" customHeight="1" x14ac:dyDescent="0.2">
      <c r="A1182" s="40"/>
      <c r="B1182" s="46"/>
      <c r="C1182" s="41"/>
      <c r="D1182" s="41"/>
      <c r="E1182" s="90"/>
      <c r="F1182" s="90"/>
      <c r="G1182" s="90"/>
      <c r="H1182" s="90"/>
      <c r="I1182" s="90"/>
      <c r="J1182" s="90"/>
      <c r="K1182" s="163"/>
      <c r="L1182" s="163"/>
      <c r="M1182" s="158"/>
      <c r="O1182" s="82">
        <f t="shared" si="176"/>
        <v>0</v>
      </c>
    </row>
    <row r="1183" spans="1:15" ht="15.95" customHeight="1" x14ac:dyDescent="0.2">
      <c r="A1183" s="40"/>
      <c r="B1183" s="46"/>
      <c r="C1183" s="41"/>
      <c r="D1183" s="41"/>
      <c r="E1183" s="90"/>
      <c r="F1183" s="90"/>
      <c r="G1183" s="90"/>
      <c r="H1183" s="90"/>
      <c r="I1183" s="90"/>
      <c r="J1183" s="90"/>
      <c r="K1183" s="163"/>
      <c r="L1183" s="163"/>
      <c r="M1183" s="158"/>
      <c r="O1183" s="82">
        <f t="shared" si="176"/>
        <v>0</v>
      </c>
    </row>
    <row r="1184" spans="1:15" ht="18" customHeight="1" x14ac:dyDescent="0.2">
      <c r="A1184" s="250" t="s">
        <v>106</v>
      </c>
      <c r="B1184" s="251"/>
      <c r="C1184" s="251"/>
      <c r="D1184" s="251"/>
      <c r="E1184" s="251"/>
      <c r="F1184" s="251"/>
      <c r="G1184" s="251"/>
      <c r="H1184" s="251"/>
      <c r="I1184" s="251"/>
      <c r="J1184" s="251"/>
      <c r="K1184" s="251"/>
      <c r="L1184" s="252"/>
      <c r="M1184" s="159">
        <f>SUM(M911:M1183)</f>
        <v>681150</v>
      </c>
      <c r="O1184" s="82">
        <f t="shared" si="176"/>
        <v>0</v>
      </c>
    </row>
    <row r="1185" spans="1:15" ht="18" customHeight="1" x14ac:dyDescent="0.2">
      <c r="A1185" s="24"/>
      <c r="B1185" s="25" t="s">
        <v>292</v>
      </c>
      <c r="C1185" s="26"/>
      <c r="D1185" s="26"/>
      <c r="E1185" s="88"/>
      <c r="F1185" s="88"/>
      <c r="G1185" s="88"/>
      <c r="H1185" s="88"/>
      <c r="I1185" s="88"/>
      <c r="J1185" s="88"/>
      <c r="K1185" s="155"/>
      <c r="L1185" s="155"/>
      <c r="M1185" s="158"/>
      <c r="O1185" s="82">
        <f t="shared" si="176"/>
        <v>0</v>
      </c>
    </row>
    <row r="1186" spans="1:15" ht="18" customHeight="1" x14ac:dyDescent="0.2">
      <c r="A1186" s="30"/>
      <c r="B1186" s="31" t="s">
        <v>10</v>
      </c>
      <c r="C1186" s="32"/>
      <c r="D1186" s="32"/>
      <c r="E1186" s="89"/>
      <c r="F1186" s="89"/>
      <c r="G1186" s="89"/>
      <c r="H1186" s="89"/>
      <c r="I1186" s="89"/>
      <c r="J1186" s="89"/>
      <c r="K1186" s="157"/>
      <c r="L1186" s="157"/>
      <c r="M1186" s="158"/>
      <c r="O1186" s="82">
        <f t="shared" si="176"/>
        <v>0</v>
      </c>
    </row>
    <row r="1187" spans="1:15" ht="18" customHeight="1" x14ac:dyDescent="0.2">
      <c r="A1187" s="30" t="s">
        <v>342</v>
      </c>
      <c r="B1187" s="39" t="s">
        <v>443</v>
      </c>
      <c r="C1187" s="32" t="s">
        <v>4</v>
      </c>
      <c r="D1187" s="32"/>
      <c r="E1187" s="89"/>
      <c r="F1187" s="89"/>
      <c r="G1187" s="89"/>
      <c r="H1187" s="89"/>
      <c r="I1187" s="89"/>
      <c r="J1187" s="89">
        <f>SUM(I1188:I1203)</f>
        <v>18.920000000000002</v>
      </c>
      <c r="K1187" s="157">
        <v>20</v>
      </c>
      <c r="L1187" s="157">
        <v>700</v>
      </c>
      <c r="M1187" s="158">
        <f>+L1187*K1187</f>
        <v>14000</v>
      </c>
      <c r="O1187" s="82">
        <f t="shared" si="176"/>
        <v>1.0799999999999983</v>
      </c>
    </row>
    <row r="1188" spans="1:15" s="5" customFormat="1" ht="16.149999999999999" customHeight="1" x14ac:dyDescent="0.2">
      <c r="A1188" s="30"/>
      <c r="B1188" s="98" t="s">
        <v>464</v>
      </c>
      <c r="C1188" s="32"/>
      <c r="D1188" s="32"/>
      <c r="E1188" s="89"/>
      <c r="F1188" s="89"/>
      <c r="G1188" s="89"/>
      <c r="H1188" s="89"/>
      <c r="I1188" s="89"/>
      <c r="K1188" s="157"/>
      <c r="L1188" s="157"/>
      <c r="M1188" s="158"/>
      <c r="O1188" s="82">
        <f t="shared" si="176"/>
        <v>0</v>
      </c>
    </row>
    <row r="1189" spans="1:15" ht="16.5" customHeight="1" x14ac:dyDescent="0.2">
      <c r="A1189" s="40"/>
      <c r="B1189" s="45"/>
      <c r="C1189" s="41"/>
      <c r="D1189" s="41">
        <v>0</v>
      </c>
      <c r="E1189" s="90"/>
      <c r="F1189" s="90"/>
      <c r="G1189" s="90"/>
      <c r="H1189" s="89">
        <f t="shared" ref="H1189:H1203" si="178">PRODUCT(D1189:G1189)</f>
        <v>0</v>
      </c>
      <c r="I1189" s="90">
        <f>SUM(H1189:H1189)</f>
        <v>0</v>
      </c>
      <c r="J1189" s="90"/>
      <c r="K1189" s="163"/>
      <c r="L1189" s="163"/>
      <c r="M1189" s="158"/>
      <c r="O1189" s="82">
        <f t="shared" si="176"/>
        <v>0</v>
      </c>
    </row>
    <row r="1190" spans="1:15" ht="16.5" customHeight="1" x14ac:dyDescent="0.2">
      <c r="A1190" s="40"/>
      <c r="B1190" s="45"/>
      <c r="C1190" s="41"/>
      <c r="D1190" s="41"/>
      <c r="E1190" s="90"/>
      <c r="F1190" s="90"/>
      <c r="G1190" s="90"/>
      <c r="H1190" s="89"/>
      <c r="I1190" s="90"/>
      <c r="J1190" s="90"/>
      <c r="K1190" s="163"/>
      <c r="L1190" s="163"/>
      <c r="M1190" s="158"/>
      <c r="O1190" s="82">
        <f t="shared" si="176"/>
        <v>0</v>
      </c>
    </row>
    <row r="1191" spans="1:15" s="5" customFormat="1" ht="16.149999999999999" customHeight="1" x14ac:dyDescent="0.2">
      <c r="A1191" s="30"/>
      <c r="B1191" s="98" t="s">
        <v>465</v>
      </c>
      <c r="C1191" s="32"/>
      <c r="D1191" s="32"/>
      <c r="E1191" s="89"/>
      <c r="F1191" s="89"/>
      <c r="G1191" s="89"/>
      <c r="H1191" s="89">
        <f t="shared" si="178"/>
        <v>0</v>
      </c>
      <c r="I1191" s="89"/>
      <c r="J1191" s="89"/>
      <c r="K1191" s="157"/>
      <c r="L1191" s="157"/>
      <c r="M1191" s="158"/>
      <c r="O1191" s="82">
        <f t="shared" si="176"/>
        <v>0</v>
      </c>
    </row>
    <row r="1192" spans="1:15" ht="16.5" customHeight="1" x14ac:dyDescent="0.2">
      <c r="A1192" s="40"/>
      <c r="B1192" s="45"/>
      <c r="C1192" s="41"/>
      <c r="D1192" s="41">
        <v>3</v>
      </c>
      <c r="E1192" s="90">
        <v>0.9</v>
      </c>
      <c r="F1192" s="90"/>
      <c r="G1192" s="90">
        <v>2.2000000000000002</v>
      </c>
      <c r="H1192" s="89">
        <f t="shared" si="178"/>
        <v>5.9400000000000013</v>
      </c>
      <c r="I1192" s="90"/>
      <c r="J1192" s="90"/>
      <c r="K1192" s="163"/>
      <c r="L1192" s="163"/>
      <c r="M1192" s="158"/>
      <c r="O1192" s="82">
        <f t="shared" si="176"/>
        <v>0</v>
      </c>
    </row>
    <row r="1193" spans="1:15" ht="16.5" customHeight="1" x14ac:dyDescent="0.2">
      <c r="A1193" s="40"/>
      <c r="B1193" s="45"/>
      <c r="C1193" s="41"/>
      <c r="D1193" s="41">
        <v>2</v>
      </c>
      <c r="E1193" s="90">
        <v>0.8</v>
      </c>
      <c r="F1193" s="90"/>
      <c r="G1193" s="90">
        <v>2.2000000000000002</v>
      </c>
      <c r="H1193" s="89">
        <f t="shared" si="178"/>
        <v>3.5200000000000005</v>
      </c>
      <c r="I1193" s="90"/>
      <c r="J1193" s="90"/>
      <c r="K1193" s="163"/>
      <c r="L1193" s="163"/>
      <c r="M1193" s="158"/>
      <c r="O1193" s="82">
        <f t="shared" si="176"/>
        <v>0</v>
      </c>
    </row>
    <row r="1194" spans="1:15" ht="16.5" customHeight="1" x14ac:dyDescent="0.2">
      <c r="A1194" s="40"/>
      <c r="B1194" s="45"/>
      <c r="C1194" s="41"/>
      <c r="D1194" s="41"/>
      <c r="E1194" s="90"/>
      <c r="F1194" s="90"/>
      <c r="G1194" s="90"/>
      <c r="H1194" s="89">
        <f t="shared" si="178"/>
        <v>0</v>
      </c>
      <c r="I1194" s="90">
        <f>SUM(H1192:H1194)</f>
        <v>9.4600000000000009</v>
      </c>
      <c r="J1194" s="90"/>
      <c r="K1194" s="163"/>
      <c r="L1194" s="163"/>
      <c r="M1194" s="158"/>
      <c r="O1194" s="82">
        <f t="shared" si="176"/>
        <v>0</v>
      </c>
    </row>
    <row r="1195" spans="1:15" s="5" customFormat="1" ht="16.149999999999999" customHeight="1" x14ac:dyDescent="0.2">
      <c r="A1195" s="30"/>
      <c r="B1195" s="98" t="s">
        <v>530</v>
      </c>
      <c r="C1195" s="32"/>
      <c r="D1195" s="32"/>
      <c r="E1195" s="89"/>
      <c r="F1195" s="89"/>
      <c r="G1195" s="89"/>
      <c r="H1195" s="89">
        <f t="shared" si="178"/>
        <v>0</v>
      </c>
      <c r="I1195" s="89"/>
      <c r="J1195" s="89"/>
      <c r="K1195" s="157"/>
      <c r="L1195" s="157"/>
      <c r="M1195" s="158"/>
      <c r="O1195" s="82">
        <f t="shared" si="176"/>
        <v>0</v>
      </c>
    </row>
    <row r="1196" spans="1:15" ht="16.5" customHeight="1" x14ac:dyDescent="0.2">
      <c r="A1196" s="40"/>
      <c r="B1196" s="45"/>
      <c r="C1196" s="41"/>
      <c r="D1196" s="41">
        <v>3</v>
      </c>
      <c r="E1196" s="90">
        <v>0.9</v>
      </c>
      <c r="F1196" s="90"/>
      <c r="G1196" s="90">
        <v>2.2000000000000002</v>
      </c>
      <c r="H1196" s="89">
        <f t="shared" ref="H1196:H1197" si="179">PRODUCT(D1196:G1196)</f>
        <v>5.9400000000000013</v>
      </c>
      <c r="I1196" s="90"/>
      <c r="J1196" s="90"/>
      <c r="K1196" s="163"/>
      <c r="L1196" s="163"/>
      <c r="M1196" s="158"/>
      <c r="O1196" s="82">
        <f t="shared" si="176"/>
        <v>0</v>
      </c>
    </row>
    <row r="1197" spans="1:15" ht="16.5" customHeight="1" x14ac:dyDescent="0.2">
      <c r="A1197" s="40"/>
      <c r="B1197" s="45"/>
      <c r="C1197" s="41"/>
      <c r="D1197" s="41">
        <v>2</v>
      </c>
      <c r="E1197" s="90">
        <v>0.8</v>
      </c>
      <c r="F1197" s="90"/>
      <c r="G1197" s="90">
        <v>2.2000000000000002</v>
      </c>
      <c r="H1197" s="89">
        <f t="shared" si="179"/>
        <v>3.5200000000000005</v>
      </c>
      <c r="I1197" s="90"/>
      <c r="J1197" s="90"/>
      <c r="K1197" s="163"/>
      <c r="L1197" s="163"/>
      <c r="M1197" s="158"/>
      <c r="O1197" s="82">
        <f t="shared" si="176"/>
        <v>0</v>
      </c>
    </row>
    <row r="1198" spans="1:15" ht="16.5" customHeight="1" x14ac:dyDescent="0.2">
      <c r="A1198" s="40"/>
      <c r="B1198" s="45"/>
      <c r="C1198" s="41"/>
      <c r="D1198" s="41"/>
      <c r="E1198" s="90"/>
      <c r="F1198" s="90"/>
      <c r="G1198" s="90"/>
      <c r="H1198" s="89"/>
      <c r="I1198" s="90">
        <f>SUM(H1196:H1197)</f>
        <v>9.4600000000000009</v>
      </c>
      <c r="J1198" s="90"/>
      <c r="K1198" s="163"/>
      <c r="L1198" s="163"/>
      <c r="M1198" s="158"/>
      <c r="O1198" s="82">
        <f t="shared" si="176"/>
        <v>0</v>
      </c>
    </row>
    <row r="1199" spans="1:15" s="5" customFormat="1" ht="16.149999999999999" customHeight="1" x14ac:dyDescent="0.2">
      <c r="A1199" s="30"/>
      <c r="B1199" s="98" t="s">
        <v>466</v>
      </c>
      <c r="C1199" s="32"/>
      <c r="D1199" s="32"/>
      <c r="E1199" s="89"/>
      <c r="F1199" s="89"/>
      <c r="G1199" s="89"/>
      <c r="H1199" s="89">
        <f t="shared" si="178"/>
        <v>0</v>
      </c>
      <c r="I1199" s="89"/>
      <c r="J1199" s="89"/>
      <c r="K1199" s="157"/>
      <c r="L1199" s="157"/>
      <c r="M1199" s="158"/>
      <c r="O1199" s="82">
        <f t="shared" si="176"/>
        <v>0</v>
      </c>
    </row>
    <row r="1200" spans="1:15" ht="16.5" customHeight="1" x14ac:dyDescent="0.2">
      <c r="A1200" s="40"/>
      <c r="B1200" s="45"/>
      <c r="C1200" s="41"/>
      <c r="D1200" s="41">
        <v>0</v>
      </c>
      <c r="E1200" s="90"/>
      <c r="F1200" s="90"/>
      <c r="G1200" s="90"/>
      <c r="H1200" s="89">
        <f t="shared" si="178"/>
        <v>0</v>
      </c>
      <c r="I1200" s="90"/>
      <c r="J1200" s="90"/>
      <c r="K1200" s="163"/>
      <c r="L1200" s="163"/>
      <c r="M1200" s="158"/>
      <c r="O1200" s="82">
        <f t="shared" si="176"/>
        <v>0</v>
      </c>
    </row>
    <row r="1201" spans="1:15" ht="16.5" customHeight="1" x14ac:dyDescent="0.2">
      <c r="A1201" s="40"/>
      <c r="B1201" s="45"/>
      <c r="C1201" s="41"/>
      <c r="D1201" s="41"/>
      <c r="E1201" s="90"/>
      <c r="F1201" s="90"/>
      <c r="G1201" s="90"/>
      <c r="H1201" s="89">
        <f t="shared" si="178"/>
        <v>0</v>
      </c>
      <c r="I1201" s="90">
        <f>SUM(H1200:H1200)</f>
        <v>0</v>
      </c>
      <c r="J1201" s="90"/>
      <c r="K1201" s="163"/>
      <c r="L1201" s="163"/>
      <c r="M1201" s="158"/>
      <c r="O1201" s="82">
        <f t="shared" si="176"/>
        <v>0</v>
      </c>
    </row>
    <row r="1202" spans="1:15" s="5" customFormat="1" ht="16.149999999999999" customHeight="1" x14ac:dyDescent="0.2">
      <c r="A1202" s="30"/>
      <c r="B1202" s="98" t="s">
        <v>467</v>
      </c>
      <c r="C1202" s="32"/>
      <c r="D1202" s="32"/>
      <c r="E1202" s="89"/>
      <c r="F1202" s="89"/>
      <c r="G1202" s="89"/>
      <c r="H1202" s="89">
        <f t="shared" si="178"/>
        <v>0</v>
      </c>
      <c r="I1202" s="90">
        <f t="shared" ref="I1202:I1203" si="180">SUM(H1201:H1201)</f>
        <v>0</v>
      </c>
      <c r="J1202" s="89"/>
      <c r="K1202" s="157"/>
      <c r="L1202" s="157"/>
      <c r="M1202" s="158"/>
      <c r="O1202" s="82">
        <f t="shared" si="176"/>
        <v>0</v>
      </c>
    </row>
    <row r="1203" spans="1:15" ht="15.95" customHeight="1" x14ac:dyDescent="0.2">
      <c r="A1203" s="40"/>
      <c r="B1203" s="45"/>
      <c r="C1203" s="41"/>
      <c r="D1203" s="41">
        <v>0</v>
      </c>
      <c r="E1203" s="90"/>
      <c r="F1203" s="90"/>
      <c r="G1203" s="90"/>
      <c r="H1203" s="89">
        <f t="shared" si="178"/>
        <v>0</v>
      </c>
      <c r="I1203" s="90">
        <f t="shared" si="180"/>
        <v>0</v>
      </c>
      <c r="J1203" s="90"/>
      <c r="K1203" s="163"/>
      <c r="L1203" s="163"/>
      <c r="M1203" s="158"/>
      <c r="N1203" s="43"/>
      <c r="O1203" s="82">
        <f t="shared" si="176"/>
        <v>0</v>
      </c>
    </row>
    <row r="1204" spans="1:15" ht="18" customHeight="1" x14ac:dyDescent="0.2">
      <c r="A1204" s="30"/>
      <c r="B1204" s="39"/>
      <c r="C1204" s="32"/>
      <c r="D1204" s="32"/>
      <c r="E1204" s="89"/>
      <c r="F1204" s="89"/>
      <c r="G1204" s="89"/>
      <c r="H1204" s="89"/>
      <c r="I1204" s="89"/>
      <c r="J1204" s="89"/>
      <c r="K1204" s="157"/>
      <c r="L1204" s="157"/>
      <c r="M1204" s="158"/>
      <c r="O1204" s="82">
        <f t="shared" si="176"/>
        <v>0</v>
      </c>
    </row>
    <row r="1205" spans="1:15" ht="18" customHeight="1" x14ac:dyDescent="0.2">
      <c r="A1205" s="30" t="s">
        <v>208</v>
      </c>
      <c r="B1205" s="39" t="s">
        <v>444</v>
      </c>
      <c r="C1205" s="32" t="s">
        <v>4</v>
      </c>
      <c r="D1205" s="32"/>
      <c r="E1205" s="89"/>
      <c r="F1205" s="89"/>
      <c r="G1205" s="89"/>
      <c r="H1205" s="89"/>
      <c r="I1205" s="89"/>
      <c r="J1205" s="89">
        <f>SUM(I1206:I1218)</f>
        <v>46.2</v>
      </c>
      <c r="K1205" s="157">
        <v>48</v>
      </c>
      <c r="L1205" s="157">
        <v>650</v>
      </c>
      <c r="M1205" s="158">
        <f>+L1205*K1205</f>
        <v>31200</v>
      </c>
      <c r="O1205" s="82">
        <f t="shared" si="176"/>
        <v>1.7999999999999972</v>
      </c>
    </row>
    <row r="1206" spans="1:15" s="5" customFormat="1" ht="16.149999999999999" customHeight="1" x14ac:dyDescent="0.2">
      <c r="A1206" s="30"/>
      <c r="B1206" s="98" t="s">
        <v>464</v>
      </c>
      <c r="C1206" s="32"/>
      <c r="D1206" s="32"/>
      <c r="E1206" s="89"/>
      <c r="F1206" s="89"/>
      <c r="G1206" s="89"/>
      <c r="H1206" s="89"/>
      <c r="I1206" s="89"/>
      <c r="K1206" s="157"/>
      <c r="L1206" s="157"/>
      <c r="M1206" s="158"/>
      <c r="O1206" s="82">
        <f t="shared" si="176"/>
        <v>0</v>
      </c>
    </row>
    <row r="1207" spans="1:15" ht="16.5" customHeight="1" x14ac:dyDescent="0.2">
      <c r="A1207" s="40"/>
      <c r="B1207" s="45"/>
      <c r="C1207" s="41"/>
      <c r="D1207" s="41">
        <v>10</v>
      </c>
      <c r="E1207" s="90">
        <v>1.1399999999999999</v>
      </c>
      <c r="F1207" s="90"/>
      <c r="G1207" s="90">
        <v>2.2000000000000002</v>
      </c>
      <c r="H1207" s="89">
        <f t="shared" ref="H1207" si="181">PRODUCT(D1207:G1207)</f>
        <v>25.08</v>
      </c>
      <c r="I1207" s="90">
        <f>SUM(H1207:H1207)</f>
        <v>25.08</v>
      </c>
      <c r="J1207" s="90"/>
      <c r="K1207" s="163"/>
      <c r="L1207" s="163"/>
      <c r="M1207" s="158"/>
      <c r="O1207" s="82">
        <f t="shared" si="176"/>
        <v>0</v>
      </c>
    </row>
    <row r="1208" spans="1:15" ht="16.5" customHeight="1" x14ac:dyDescent="0.2">
      <c r="A1208" s="40"/>
      <c r="B1208" s="45"/>
      <c r="C1208" s="41"/>
      <c r="D1208" s="41"/>
      <c r="E1208" s="90"/>
      <c r="F1208" s="90"/>
      <c r="G1208" s="90"/>
      <c r="H1208" s="89"/>
      <c r="I1208" s="90"/>
      <c r="J1208" s="90"/>
      <c r="K1208" s="163"/>
      <c r="L1208" s="163"/>
      <c r="M1208" s="158"/>
      <c r="O1208" s="82">
        <f t="shared" si="176"/>
        <v>0</v>
      </c>
    </row>
    <row r="1209" spans="1:15" s="5" customFormat="1" ht="16.149999999999999" customHeight="1" x14ac:dyDescent="0.2">
      <c r="A1209" s="30"/>
      <c r="B1209" s="98" t="s">
        <v>465</v>
      </c>
      <c r="C1209" s="32"/>
      <c r="D1209" s="32"/>
      <c r="E1209" s="89"/>
      <c r="F1209" s="89"/>
      <c r="G1209" s="89"/>
      <c r="H1209" s="89">
        <f t="shared" ref="H1209:H1218" si="182">PRODUCT(D1209:G1209)</f>
        <v>0</v>
      </c>
      <c r="I1209" s="89"/>
      <c r="J1209" s="89"/>
      <c r="K1209" s="157"/>
      <c r="L1209" s="157"/>
      <c r="M1209" s="158"/>
      <c r="O1209" s="82">
        <f t="shared" si="176"/>
        <v>0</v>
      </c>
    </row>
    <row r="1210" spans="1:15" ht="16.5" customHeight="1" x14ac:dyDescent="0.2">
      <c r="A1210" s="40"/>
      <c r="B1210" s="45"/>
      <c r="C1210" s="41"/>
      <c r="D1210" s="41"/>
      <c r="E1210" s="90"/>
      <c r="F1210" s="90"/>
      <c r="G1210" s="90"/>
      <c r="H1210" s="89">
        <f t="shared" si="182"/>
        <v>0</v>
      </c>
      <c r="I1210" s="90">
        <f>SUM(H1210:H1210)</f>
        <v>0</v>
      </c>
      <c r="J1210" s="90"/>
      <c r="K1210" s="163"/>
      <c r="L1210" s="163"/>
      <c r="M1210" s="158"/>
      <c r="O1210" s="82">
        <f t="shared" si="176"/>
        <v>0</v>
      </c>
    </row>
    <row r="1211" spans="1:15" s="5" customFormat="1" ht="16.149999999999999" customHeight="1" x14ac:dyDescent="0.2">
      <c r="A1211" s="30"/>
      <c r="B1211" s="98" t="s">
        <v>530</v>
      </c>
      <c r="C1211" s="32"/>
      <c r="D1211" s="32"/>
      <c r="E1211" s="89"/>
      <c r="F1211" s="89"/>
      <c r="G1211" s="89"/>
      <c r="H1211" s="89">
        <f t="shared" si="182"/>
        <v>0</v>
      </c>
      <c r="I1211" s="89"/>
      <c r="J1211" s="89"/>
      <c r="K1211" s="157"/>
      <c r="L1211" s="157"/>
      <c r="M1211" s="158"/>
      <c r="O1211" s="82">
        <f t="shared" si="176"/>
        <v>0</v>
      </c>
    </row>
    <row r="1212" spans="1:15" ht="16.5" customHeight="1" x14ac:dyDescent="0.2">
      <c r="A1212" s="40"/>
      <c r="B1212" s="45"/>
      <c r="C1212" s="41"/>
      <c r="D1212" s="41"/>
      <c r="E1212" s="90"/>
      <c r="F1212" s="90"/>
      <c r="G1212" s="90"/>
      <c r="H1212" s="89">
        <f t="shared" si="182"/>
        <v>0</v>
      </c>
      <c r="I1212" s="90"/>
      <c r="J1212" s="90"/>
      <c r="K1212" s="163"/>
      <c r="L1212" s="163"/>
      <c r="M1212" s="158"/>
      <c r="O1212" s="82">
        <f t="shared" si="176"/>
        <v>0</v>
      </c>
    </row>
    <row r="1213" spans="1:15" ht="16.5" customHeight="1" x14ac:dyDescent="0.2">
      <c r="A1213" s="40"/>
      <c r="B1213" s="45"/>
      <c r="C1213" s="41"/>
      <c r="D1213" s="41"/>
      <c r="E1213" s="90"/>
      <c r="F1213" s="90"/>
      <c r="G1213" s="90"/>
      <c r="H1213" s="89"/>
      <c r="I1213" s="90">
        <f>SUM(H1212:H1212)</f>
        <v>0</v>
      </c>
      <c r="J1213" s="90"/>
      <c r="K1213" s="163"/>
      <c r="L1213" s="163"/>
      <c r="M1213" s="158"/>
      <c r="O1213" s="82">
        <f t="shared" si="176"/>
        <v>0</v>
      </c>
    </row>
    <row r="1214" spans="1:15" s="5" customFormat="1" ht="16.149999999999999" customHeight="1" x14ac:dyDescent="0.2">
      <c r="A1214" s="30"/>
      <c r="B1214" s="98" t="s">
        <v>466</v>
      </c>
      <c r="C1214" s="32"/>
      <c r="D1214" s="32"/>
      <c r="E1214" s="89"/>
      <c r="F1214" s="89"/>
      <c r="G1214" s="89"/>
      <c r="H1214" s="89">
        <f t="shared" si="182"/>
        <v>0</v>
      </c>
      <c r="I1214" s="89"/>
      <c r="J1214" s="89"/>
      <c r="K1214" s="157"/>
      <c r="L1214" s="157"/>
      <c r="M1214" s="158"/>
      <c r="O1214" s="82">
        <f t="shared" si="176"/>
        <v>0</v>
      </c>
    </row>
    <row r="1215" spans="1:15" ht="16.5" customHeight="1" x14ac:dyDescent="0.2">
      <c r="A1215" s="40"/>
      <c r="B1215" s="45"/>
      <c r="C1215" s="41"/>
      <c r="D1215" s="41">
        <v>12</v>
      </c>
      <c r="E1215" s="90">
        <v>0.8</v>
      </c>
      <c r="F1215" s="90"/>
      <c r="G1215" s="90">
        <v>2.2000000000000002</v>
      </c>
      <c r="H1215" s="89">
        <f t="shared" si="182"/>
        <v>21.120000000000005</v>
      </c>
      <c r="I1215" s="90"/>
      <c r="J1215" s="90"/>
      <c r="K1215" s="163"/>
      <c r="L1215" s="163"/>
      <c r="M1215" s="158"/>
      <c r="O1215" s="82">
        <f t="shared" si="176"/>
        <v>0</v>
      </c>
    </row>
    <row r="1216" spans="1:15" ht="16.5" customHeight="1" x14ac:dyDescent="0.2">
      <c r="A1216" s="40"/>
      <c r="B1216" s="45"/>
      <c r="C1216" s="41"/>
      <c r="D1216" s="41"/>
      <c r="E1216" s="90"/>
      <c r="F1216" s="90"/>
      <c r="G1216" s="90"/>
      <c r="H1216" s="89">
        <f t="shared" si="182"/>
        <v>0</v>
      </c>
      <c r="I1216" s="90">
        <f>SUM(H1215:H1215)</f>
        <v>21.120000000000005</v>
      </c>
      <c r="J1216" s="90"/>
      <c r="K1216" s="163"/>
      <c r="L1216" s="163"/>
      <c r="M1216" s="158"/>
      <c r="O1216" s="82">
        <f t="shared" si="176"/>
        <v>0</v>
      </c>
    </row>
    <row r="1217" spans="1:15" s="5" customFormat="1" ht="16.149999999999999" customHeight="1" x14ac:dyDescent="0.2">
      <c r="A1217" s="30"/>
      <c r="B1217" s="98" t="s">
        <v>467</v>
      </c>
      <c r="C1217" s="32"/>
      <c r="D1217" s="32"/>
      <c r="E1217" s="89"/>
      <c r="F1217" s="89"/>
      <c r="G1217" s="89"/>
      <c r="H1217" s="89">
        <f t="shared" si="182"/>
        <v>0</v>
      </c>
      <c r="I1217" s="90">
        <f t="shared" ref="I1217:I1218" si="183">SUM(H1216:H1216)</f>
        <v>0</v>
      </c>
      <c r="J1217" s="89"/>
      <c r="K1217" s="157"/>
      <c r="L1217" s="157"/>
      <c r="M1217" s="158"/>
      <c r="O1217" s="82">
        <f t="shared" si="176"/>
        <v>0</v>
      </c>
    </row>
    <row r="1218" spans="1:15" ht="15.95" customHeight="1" x14ac:dyDescent="0.2">
      <c r="A1218" s="40"/>
      <c r="B1218" s="45"/>
      <c r="C1218" s="41"/>
      <c r="D1218" s="41"/>
      <c r="E1218" s="90"/>
      <c r="F1218" s="90"/>
      <c r="G1218" s="90"/>
      <c r="H1218" s="89">
        <f t="shared" si="182"/>
        <v>0</v>
      </c>
      <c r="I1218" s="90">
        <f t="shared" si="183"/>
        <v>0</v>
      </c>
      <c r="J1218" s="90"/>
      <c r="K1218" s="163"/>
      <c r="L1218" s="163"/>
      <c r="M1218" s="158"/>
      <c r="N1218" s="43"/>
      <c r="O1218" s="82">
        <f t="shared" si="176"/>
        <v>0</v>
      </c>
    </row>
    <row r="1219" spans="1:15" ht="15.95" customHeight="1" x14ac:dyDescent="0.2">
      <c r="A1219" s="40"/>
      <c r="B1219" s="45"/>
      <c r="C1219" s="41"/>
      <c r="D1219" s="41"/>
      <c r="E1219" s="90"/>
      <c r="F1219" s="90"/>
      <c r="G1219" s="90"/>
      <c r="H1219" s="89"/>
      <c r="I1219" s="90">
        <f>SUM(H1218:H1219)</f>
        <v>0</v>
      </c>
      <c r="J1219" s="90"/>
      <c r="K1219" s="163"/>
      <c r="L1219" s="163"/>
      <c r="M1219" s="158"/>
      <c r="N1219" s="43"/>
      <c r="O1219" s="82">
        <f t="shared" si="176"/>
        <v>0</v>
      </c>
    </row>
    <row r="1220" spans="1:15" ht="18" customHeight="1" x14ac:dyDescent="0.2">
      <c r="A1220" s="30" t="s">
        <v>406</v>
      </c>
      <c r="B1220" s="39" t="s">
        <v>92</v>
      </c>
      <c r="C1220" s="41" t="s">
        <v>4</v>
      </c>
      <c r="D1220" s="41"/>
      <c r="E1220" s="90"/>
      <c r="F1220" s="90"/>
      <c r="G1220" s="90"/>
      <c r="H1220" s="90"/>
      <c r="I1220" s="90"/>
      <c r="J1220" s="90">
        <f>SUM(I1222:I1228)</f>
        <v>58.79999999999999</v>
      </c>
      <c r="K1220" s="157">
        <v>60</v>
      </c>
      <c r="L1220" s="157">
        <v>650</v>
      </c>
      <c r="M1220" s="158">
        <f>+L1220*K1220</f>
        <v>39000</v>
      </c>
      <c r="O1220" s="82">
        <f t="shared" si="176"/>
        <v>1.2000000000000099</v>
      </c>
    </row>
    <row r="1221" spans="1:15" s="5" customFormat="1" ht="16.149999999999999" customHeight="1" x14ac:dyDescent="0.2">
      <c r="A1221" s="30"/>
      <c r="B1221" s="98" t="s">
        <v>464</v>
      </c>
      <c r="C1221" s="32"/>
      <c r="D1221" s="32"/>
      <c r="E1221" s="89"/>
      <c r="F1221" s="89"/>
      <c r="G1221" s="89"/>
      <c r="H1221" s="89"/>
      <c r="I1221" s="89"/>
      <c r="K1221" s="157"/>
      <c r="L1221" s="157"/>
      <c r="M1221" s="158"/>
      <c r="O1221" s="82">
        <f t="shared" si="176"/>
        <v>0</v>
      </c>
    </row>
    <row r="1222" spans="1:15" ht="16.5" customHeight="1" x14ac:dyDescent="0.2">
      <c r="A1222" s="40"/>
      <c r="B1222" s="45"/>
      <c r="C1222" s="41"/>
      <c r="D1222" s="41">
        <v>9</v>
      </c>
      <c r="E1222" s="90">
        <v>1.8</v>
      </c>
      <c r="F1222" s="90"/>
      <c r="G1222" s="90">
        <v>2.8</v>
      </c>
      <c r="H1222" s="89">
        <f t="shared" ref="H1222:H1227" si="184">PRODUCT(D1222:G1222)</f>
        <v>45.359999999999992</v>
      </c>
      <c r="I1222" s="90"/>
      <c r="J1222" s="90"/>
      <c r="K1222" s="163"/>
      <c r="L1222" s="163"/>
      <c r="M1222" s="158"/>
      <c r="O1222" s="82">
        <f t="shared" si="176"/>
        <v>0</v>
      </c>
    </row>
    <row r="1223" spans="1:15" ht="16.5" customHeight="1" x14ac:dyDescent="0.2">
      <c r="A1223" s="40"/>
      <c r="B1223" s="45"/>
      <c r="C1223" s="41"/>
      <c r="D1223" s="41"/>
      <c r="E1223" s="90"/>
      <c r="F1223" s="90"/>
      <c r="G1223" s="90"/>
      <c r="H1223" s="89">
        <f t="shared" si="184"/>
        <v>0</v>
      </c>
      <c r="I1223" s="90">
        <f>SUM(H1222:H1223)</f>
        <v>45.359999999999992</v>
      </c>
      <c r="J1223" s="90"/>
      <c r="K1223" s="163"/>
      <c r="L1223" s="163"/>
      <c r="M1223" s="158"/>
      <c r="O1223" s="82">
        <f t="shared" si="176"/>
        <v>0</v>
      </c>
    </row>
    <row r="1224" spans="1:15" s="5" customFormat="1" ht="16.149999999999999" customHeight="1" x14ac:dyDescent="0.2">
      <c r="A1224" s="30"/>
      <c r="B1224" s="98" t="s">
        <v>465</v>
      </c>
      <c r="C1224" s="32"/>
      <c r="D1224" s="32"/>
      <c r="E1224" s="89"/>
      <c r="F1224" s="89"/>
      <c r="G1224" s="89"/>
      <c r="H1224" s="89">
        <f t="shared" si="184"/>
        <v>0</v>
      </c>
      <c r="I1224" s="89"/>
      <c r="J1224" s="89"/>
      <c r="K1224" s="157"/>
      <c r="L1224" s="157"/>
      <c r="M1224" s="158"/>
      <c r="O1224" s="82">
        <f t="shared" si="176"/>
        <v>0</v>
      </c>
    </row>
    <row r="1225" spans="1:15" ht="16.5" customHeight="1" x14ac:dyDescent="0.2">
      <c r="A1225" s="40"/>
      <c r="B1225" s="45"/>
      <c r="C1225" s="41"/>
      <c r="D1225" s="41"/>
      <c r="E1225" s="90"/>
      <c r="F1225" s="90"/>
      <c r="G1225" s="90"/>
      <c r="H1225" s="89">
        <f t="shared" si="184"/>
        <v>0</v>
      </c>
      <c r="I1225" s="90">
        <f>SUM(H1225:H1225)</f>
        <v>0</v>
      </c>
      <c r="J1225" s="90"/>
      <c r="K1225" s="163"/>
      <c r="L1225" s="163"/>
      <c r="M1225" s="158"/>
      <c r="O1225" s="82">
        <f t="shared" si="176"/>
        <v>0</v>
      </c>
    </row>
    <row r="1226" spans="1:15" ht="18" customHeight="1" x14ac:dyDescent="0.2">
      <c r="A1226" s="30"/>
      <c r="B1226" s="46"/>
      <c r="C1226" s="41"/>
      <c r="D1226" s="41">
        <v>1</v>
      </c>
      <c r="E1226" s="90">
        <v>3</v>
      </c>
      <c r="F1226" s="90"/>
      <c r="G1226" s="90">
        <v>2.8</v>
      </c>
      <c r="H1226" s="89">
        <f t="shared" si="184"/>
        <v>8.3999999999999986</v>
      </c>
      <c r="I1226" s="90"/>
      <c r="J1226" s="90"/>
      <c r="K1226" s="157"/>
      <c r="L1226" s="157"/>
      <c r="M1226" s="158"/>
      <c r="O1226" s="82">
        <f t="shared" si="176"/>
        <v>0</v>
      </c>
    </row>
    <row r="1227" spans="1:15" ht="18" customHeight="1" x14ac:dyDescent="0.2">
      <c r="A1227" s="30"/>
      <c r="B1227" s="46"/>
      <c r="C1227" s="41"/>
      <c r="D1227" s="41">
        <v>1</v>
      </c>
      <c r="E1227" s="90">
        <v>1.8</v>
      </c>
      <c r="F1227" s="90"/>
      <c r="G1227" s="90">
        <v>2.8</v>
      </c>
      <c r="H1227" s="89">
        <f t="shared" si="184"/>
        <v>5.04</v>
      </c>
      <c r="I1227" s="90"/>
      <c r="J1227" s="90"/>
      <c r="K1227" s="157"/>
      <c r="L1227" s="157"/>
      <c r="M1227" s="158"/>
      <c r="O1227" s="82">
        <f t="shared" ref="O1227:O1290" si="185">K1227-J1227</f>
        <v>0</v>
      </c>
    </row>
    <row r="1228" spans="1:15" ht="18" customHeight="1" x14ac:dyDescent="0.2">
      <c r="A1228" s="30"/>
      <c r="B1228" s="46"/>
      <c r="C1228" s="41"/>
      <c r="D1228" s="41"/>
      <c r="E1228" s="90"/>
      <c r="F1228" s="90"/>
      <c r="G1228" s="90"/>
      <c r="H1228" s="90"/>
      <c r="I1228" s="90">
        <f>SUM(H1226:H1227)</f>
        <v>13.439999999999998</v>
      </c>
      <c r="J1228" s="90"/>
      <c r="K1228" s="157"/>
      <c r="L1228" s="157"/>
      <c r="M1228" s="158"/>
      <c r="O1228" s="82">
        <f t="shared" si="185"/>
        <v>0</v>
      </c>
    </row>
    <row r="1229" spans="1:15" ht="18" customHeight="1" x14ac:dyDescent="0.2">
      <c r="A1229" s="30"/>
      <c r="B1229" s="46"/>
      <c r="C1229" s="41"/>
      <c r="D1229" s="41"/>
      <c r="E1229" s="90"/>
      <c r="F1229" s="90"/>
      <c r="G1229" s="90"/>
      <c r="H1229" s="89"/>
      <c r="I1229" s="90"/>
      <c r="J1229" s="90"/>
      <c r="K1229" s="157"/>
      <c r="L1229" s="157"/>
      <c r="M1229" s="158"/>
      <c r="O1229" s="82">
        <f t="shared" si="185"/>
        <v>0</v>
      </c>
    </row>
    <row r="1230" spans="1:15" ht="18" customHeight="1" x14ac:dyDescent="0.2">
      <c r="A1230" s="250" t="s">
        <v>108</v>
      </c>
      <c r="B1230" s="251"/>
      <c r="C1230" s="251"/>
      <c r="D1230" s="251"/>
      <c r="E1230" s="251"/>
      <c r="F1230" s="251"/>
      <c r="G1230" s="251"/>
      <c r="H1230" s="251"/>
      <c r="I1230" s="251"/>
      <c r="J1230" s="251"/>
      <c r="K1230" s="251"/>
      <c r="L1230" s="252"/>
      <c r="M1230" s="159">
        <f>SUM(M1185:M1229)</f>
        <v>84200</v>
      </c>
      <c r="O1230" s="82">
        <f t="shared" si="185"/>
        <v>0</v>
      </c>
    </row>
    <row r="1231" spans="1:15" ht="18" customHeight="1" x14ac:dyDescent="0.2">
      <c r="A1231" s="24"/>
      <c r="B1231" s="25" t="s">
        <v>40</v>
      </c>
      <c r="C1231" s="26"/>
      <c r="D1231" s="26"/>
      <c r="E1231" s="88"/>
      <c r="F1231" s="88"/>
      <c r="G1231" s="88"/>
      <c r="H1231" s="88"/>
      <c r="I1231" s="88"/>
      <c r="J1231" s="88"/>
      <c r="K1231" s="155"/>
      <c r="L1231" s="155"/>
      <c r="M1231" s="158"/>
      <c r="O1231" s="82">
        <f t="shared" si="185"/>
        <v>0</v>
      </c>
    </row>
    <row r="1232" spans="1:15" ht="18" customHeight="1" x14ac:dyDescent="0.2">
      <c r="A1232" s="56" t="s">
        <v>209</v>
      </c>
      <c r="B1232" s="52" t="s">
        <v>514</v>
      </c>
      <c r="C1232" s="41" t="s">
        <v>4</v>
      </c>
      <c r="D1232" s="41"/>
      <c r="E1232" s="90"/>
      <c r="F1232" s="90"/>
      <c r="G1232" s="90"/>
      <c r="H1232" s="90"/>
      <c r="I1232" s="90"/>
      <c r="J1232" s="90">
        <f>SUM(I1233:I1249)</f>
        <v>65.7</v>
      </c>
      <c r="K1232" s="163">
        <v>68</v>
      </c>
      <c r="L1232" s="163">
        <v>1000</v>
      </c>
      <c r="M1232" s="158">
        <f>+L1232*K1232</f>
        <v>68000</v>
      </c>
      <c r="O1232" s="82">
        <f t="shared" si="185"/>
        <v>2.2999999999999972</v>
      </c>
    </row>
    <row r="1233" spans="1:15" s="5" customFormat="1" ht="16.149999999999999" customHeight="1" x14ac:dyDescent="0.2">
      <c r="A1233" s="30"/>
      <c r="B1233" s="98" t="s">
        <v>464</v>
      </c>
      <c r="C1233" s="32"/>
      <c r="D1233" s="32"/>
      <c r="E1233" s="89"/>
      <c r="F1233" s="89"/>
      <c r="G1233" s="89"/>
      <c r="H1233" s="89"/>
      <c r="I1233" s="89"/>
      <c r="K1233" s="157"/>
      <c r="L1233" s="157"/>
      <c r="M1233" s="158"/>
      <c r="O1233" s="82">
        <f t="shared" si="185"/>
        <v>0</v>
      </c>
    </row>
    <row r="1234" spans="1:15" ht="16.5" customHeight="1" x14ac:dyDescent="0.2">
      <c r="A1234" s="40"/>
      <c r="B1234" s="45"/>
      <c r="C1234" s="41"/>
      <c r="D1234" s="41">
        <f>4*10</f>
        <v>40</v>
      </c>
      <c r="E1234" s="90">
        <v>0.9</v>
      </c>
      <c r="F1234" s="90"/>
      <c r="G1234" s="90">
        <v>1.2</v>
      </c>
      <c r="H1234" s="89">
        <f t="shared" ref="H1234:H1247" si="186">PRODUCT(D1234:G1234)</f>
        <v>43.199999999999996</v>
      </c>
      <c r="I1234" s="90">
        <f>SUM(H1234:H1234)</f>
        <v>43.199999999999996</v>
      </c>
      <c r="J1234" s="90"/>
      <c r="K1234" s="163"/>
      <c r="L1234" s="163"/>
      <c r="M1234" s="158"/>
      <c r="O1234" s="82">
        <f t="shared" si="185"/>
        <v>0</v>
      </c>
    </row>
    <row r="1235" spans="1:15" s="5" customFormat="1" ht="16.149999999999999" customHeight="1" x14ac:dyDescent="0.2">
      <c r="A1235" s="30"/>
      <c r="B1235" s="98" t="s">
        <v>465</v>
      </c>
      <c r="C1235" s="32"/>
      <c r="D1235" s="32"/>
      <c r="E1235" s="89"/>
      <c r="F1235" s="89"/>
      <c r="G1235" s="89"/>
      <c r="H1235" s="89">
        <f t="shared" si="186"/>
        <v>0</v>
      </c>
      <c r="I1235" s="89"/>
      <c r="J1235" s="89"/>
      <c r="K1235" s="157"/>
      <c r="L1235" s="157"/>
      <c r="M1235" s="158"/>
      <c r="O1235" s="82">
        <f t="shared" si="185"/>
        <v>0</v>
      </c>
    </row>
    <row r="1236" spans="1:15" ht="16.5" customHeight="1" x14ac:dyDescent="0.2">
      <c r="A1236" s="40"/>
      <c r="B1236" s="45"/>
      <c r="C1236" s="41"/>
      <c r="D1236" s="41">
        <v>7</v>
      </c>
      <c r="E1236" s="90">
        <v>0.9</v>
      </c>
      <c r="F1236" s="90"/>
      <c r="G1236" s="90">
        <v>1.2</v>
      </c>
      <c r="H1236" s="89">
        <f t="shared" si="186"/>
        <v>7.56</v>
      </c>
      <c r="I1236" s="80"/>
      <c r="J1236" s="90"/>
      <c r="K1236" s="163"/>
      <c r="L1236" s="163"/>
      <c r="M1236" s="158"/>
      <c r="O1236" s="82">
        <f t="shared" si="185"/>
        <v>0</v>
      </c>
    </row>
    <row r="1237" spans="1:15" ht="16.5" customHeight="1" x14ac:dyDescent="0.2">
      <c r="A1237" s="40"/>
      <c r="B1237" s="45"/>
      <c r="C1237" s="41"/>
      <c r="D1237" s="41">
        <v>2</v>
      </c>
      <c r="E1237" s="90">
        <v>0.9</v>
      </c>
      <c r="F1237" s="90"/>
      <c r="G1237" s="90">
        <v>0.5</v>
      </c>
      <c r="H1237" s="89">
        <f t="shared" si="186"/>
        <v>0.9</v>
      </c>
      <c r="I1237" s="90"/>
      <c r="J1237" s="90"/>
      <c r="K1237" s="163"/>
      <c r="L1237" s="163"/>
      <c r="M1237" s="158"/>
      <c r="O1237" s="82">
        <f t="shared" si="185"/>
        <v>0</v>
      </c>
    </row>
    <row r="1238" spans="1:15" ht="16.5" customHeight="1" x14ac:dyDescent="0.2">
      <c r="A1238" s="40"/>
      <c r="B1238" s="45"/>
      <c r="C1238" s="41"/>
      <c r="D1238" s="41"/>
      <c r="E1238" s="90"/>
      <c r="F1238" s="90"/>
      <c r="G1238" s="90"/>
      <c r="H1238" s="89"/>
      <c r="I1238" s="90">
        <f>SUM(H1236:H1237)</f>
        <v>8.4599999999999991</v>
      </c>
      <c r="J1238" s="90"/>
      <c r="K1238" s="163"/>
      <c r="L1238" s="163"/>
      <c r="M1238" s="158"/>
      <c r="O1238" s="82">
        <f t="shared" si="185"/>
        <v>0</v>
      </c>
    </row>
    <row r="1239" spans="1:15" s="5" customFormat="1" ht="16.149999999999999" customHeight="1" x14ac:dyDescent="0.2">
      <c r="A1239" s="30"/>
      <c r="B1239" s="98" t="s">
        <v>530</v>
      </c>
      <c r="C1239" s="32"/>
      <c r="D1239" s="32"/>
      <c r="E1239" s="89"/>
      <c r="F1239" s="89"/>
      <c r="G1239" s="89"/>
      <c r="H1239" s="89">
        <f t="shared" ref="H1239:H1240" si="187">PRODUCT(D1239:G1239)</f>
        <v>0</v>
      </c>
      <c r="I1239" s="89"/>
      <c r="J1239" s="89"/>
      <c r="K1239" s="157"/>
      <c r="L1239" s="157"/>
      <c r="M1239" s="158"/>
      <c r="O1239" s="82">
        <f t="shared" si="185"/>
        <v>0</v>
      </c>
    </row>
    <row r="1240" spans="1:15" ht="16.5" customHeight="1" x14ac:dyDescent="0.2">
      <c r="A1240" s="40"/>
      <c r="B1240" s="45"/>
      <c r="C1240" s="41"/>
      <c r="D1240" s="41">
        <v>6</v>
      </c>
      <c r="E1240" s="90">
        <v>0.9</v>
      </c>
      <c r="F1240" s="90"/>
      <c r="G1240" s="90">
        <v>1.2</v>
      </c>
      <c r="H1240" s="89">
        <f t="shared" si="187"/>
        <v>6.48</v>
      </c>
      <c r="I1240" s="90"/>
      <c r="J1240" s="90"/>
      <c r="K1240" s="163"/>
      <c r="L1240" s="163"/>
      <c r="M1240" s="158"/>
      <c r="O1240" s="82">
        <f t="shared" si="185"/>
        <v>0</v>
      </c>
    </row>
    <row r="1241" spans="1:15" ht="16.5" customHeight="1" x14ac:dyDescent="0.2">
      <c r="A1241" s="40"/>
      <c r="B1241" s="45"/>
      <c r="C1241" s="41"/>
      <c r="D1241" s="41">
        <v>2</v>
      </c>
      <c r="E1241" s="90">
        <v>0.9</v>
      </c>
      <c r="F1241" s="90"/>
      <c r="G1241" s="90">
        <v>0.5</v>
      </c>
      <c r="H1241" s="89">
        <f t="shared" ref="H1241" si="188">PRODUCT(D1241:G1241)</f>
        <v>0.9</v>
      </c>
      <c r="I1241" s="90"/>
      <c r="J1241" s="90"/>
      <c r="K1241" s="163"/>
      <c r="L1241" s="163"/>
      <c r="M1241" s="158"/>
      <c r="O1241" s="82">
        <f t="shared" si="185"/>
        <v>0</v>
      </c>
    </row>
    <row r="1242" spans="1:15" ht="16.5" customHeight="1" x14ac:dyDescent="0.2">
      <c r="A1242" s="40"/>
      <c r="B1242" s="45"/>
      <c r="C1242" s="41"/>
      <c r="D1242" s="41"/>
      <c r="E1242" s="90"/>
      <c r="F1242" s="90"/>
      <c r="G1242" s="90"/>
      <c r="H1242" s="89"/>
      <c r="I1242" s="90">
        <f>SUM(H1240:H1240)</f>
        <v>6.48</v>
      </c>
      <c r="J1242" s="90"/>
      <c r="K1242" s="163"/>
      <c r="L1242" s="163"/>
      <c r="M1242" s="158"/>
      <c r="O1242" s="82">
        <f t="shared" si="185"/>
        <v>0</v>
      </c>
    </row>
    <row r="1243" spans="1:15" s="5" customFormat="1" ht="16.149999999999999" customHeight="1" x14ac:dyDescent="0.2">
      <c r="A1243" s="30"/>
      <c r="B1243" s="98" t="s">
        <v>466</v>
      </c>
      <c r="C1243" s="32"/>
      <c r="D1243" s="32"/>
      <c r="E1243" s="89"/>
      <c r="F1243" s="89"/>
      <c r="G1243" s="89"/>
      <c r="H1243" s="89">
        <f t="shared" si="186"/>
        <v>0</v>
      </c>
      <c r="I1243" s="89"/>
      <c r="J1243" s="89"/>
      <c r="K1243" s="157"/>
      <c r="L1243" s="157"/>
      <c r="M1243" s="158"/>
      <c r="O1243" s="82">
        <f t="shared" si="185"/>
        <v>0</v>
      </c>
    </row>
    <row r="1244" spans="1:15" ht="16.5" customHeight="1" x14ac:dyDescent="0.2">
      <c r="A1244" s="40"/>
      <c r="B1244" s="45"/>
      <c r="C1244" s="41"/>
      <c r="D1244" s="41">
        <v>12</v>
      </c>
      <c r="E1244" s="90">
        <v>0.9</v>
      </c>
      <c r="F1244" s="90"/>
      <c r="G1244" s="90">
        <v>0.5</v>
      </c>
      <c r="H1244" s="89">
        <f t="shared" si="186"/>
        <v>5.4</v>
      </c>
      <c r="I1244" s="90"/>
      <c r="J1244" s="90"/>
      <c r="K1244" s="163"/>
      <c r="L1244" s="163"/>
      <c r="M1244" s="158"/>
      <c r="O1244" s="82">
        <f t="shared" si="185"/>
        <v>0</v>
      </c>
    </row>
    <row r="1245" spans="1:15" ht="16.5" customHeight="1" x14ac:dyDescent="0.2">
      <c r="A1245" s="40"/>
      <c r="B1245" s="45"/>
      <c r="C1245" s="41"/>
      <c r="D1245" s="41"/>
      <c r="E1245" s="90"/>
      <c r="F1245" s="90"/>
      <c r="G1245" s="90"/>
      <c r="H1245" s="89">
        <f t="shared" si="186"/>
        <v>0</v>
      </c>
      <c r="I1245" s="90">
        <f>SUM(H1244:H1244)</f>
        <v>5.4</v>
      </c>
      <c r="J1245" s="90"/>
      <c r="K1245" s="163"/>
      <c r="L1245" s="163"/>
      <c r="M1245" s="158"/>
      <c r="O1245" s="82">
        <f t="shared" si="185"/>
        <v>0</v>
      </c>
    </row>
    <row r="1246" spans="1:15" s="5" customFormat="1" ht="16.149999999999999" customHeight="1" x14ac:dyDescent="0.2">
      <c r="A1246" s="30"/>
      <c r="B1246" s="98" t="s">
        <v>467</v>
      </c>
      <c r="C1246" s="32"/>
      <c r="D1246" s="32"/>
      <c r="E1246" s="89"/>
      <c r="F1246" s="89"/>
      <c r="G1246" s="89"/>
      <c r="H1246" s="89">
        <f t="shared" si="186"/>
        <v>0</v>
      </c>
      <c r="I1246" s="90">
        <f t="shared" ref="I1246:I1247" si="189">SUM(H1245:H1245)</f>
        <v>0</v>
      </c>
      <c r="J1246" s="89"/>
      <c r="K1246" s="157"/>
      <c r="L1246" s="157"/>
      <c r="M1246" s="158"/>
      <c r="O1246" s="82">
        <f t="shared" si="185"/>
        <v>0</v>
      </c>
    </row>
    <row r="1247" spans="1:15" ht="15.95" customHeight="1" x14ac:dyDescent="0.2">
      <c r="A1247" s="40"/>
      <c r="B1247" s="45"/>
      <c r="C1247" s="41"/>
      <c r="D1247" s="41">
        <v>2</v>
      </c>
      <c r="E1247" s="90">
        <v>0.9</v>
      </c>
      <c r="F1247" s="90"/>
      <c r="G1247" s="90">
        <v>1.2</v>
      </c>
      <c r="H1247" s="89">
        <f t="shared" si="186"/>
        <v>2.16</v>
      </c>
      <c r="I1247" s="90">
        <f t="shared" si="189"/>
        <v>0</v>
      </c>
      <c r="J1247" s="90"/>
      <c r="K1247" s="163"/>
      <c r="L1247" s="163"/>
      <c r="M1247" s="158"/>
      <c r="N1247" s="43"/>
      <c r="O1247" s="82">
        <f t="shared" si="185"/>
        <v>0</v>
      </c>
    </row>
    <row r="1248" spans="1:15" ht="18" customHeight="1" x14ac:dyDescent="0.2">
      <c r="A1248" s="56"/>
      <c r="B1248" s="52"/>
      <c r="C1248" s="41"/>
      <c r="D1248" s="41"/>
      <c r="E1248" s="90"/>
      <c r="F1248" s="90"/>
      <c r="G1248" s="90"/>
      <c r="H1248" s="90"/>
      <c r="I1248" s="90">
        <f>SUM(H1247:H1248)</f>
        <v>2.16</v>
      </c>
      <c r="J1248" s="90"/>
      <c r="K1248" s="163"/>
      <c r="L1248" s="163"/>
      <c r="M1248" s="158"/>
      <c r="O1248" s="82">
        <f t="shared" si="185"/>
        <v>0</v>
      </c>
    </row>
    <row r="1249" spans="1:263" ht="18" customHeight="1" x14ac:dyDescent="0.2">
      <c r="A1249" s="56"/>
      <c r="B1249" s="52"/>
      <c r="C1249" s="41"/>
      <c r="D1249" s="41"/>
      <c r="E1249" s="90"/>
      <c r="F1249" s="90"/>
      <c r="G1249" s="90"/>
      <c r="H1249" s="90"/>
      <c r="I1249" s="90"/>
      <c r="J1249" s="90"/>
      <c r="K1249" s="163"/>
      <c r="L1249" s="163"/>
      <c r="M1249" s="158"/>
      <c r="O1249" s="82">
        <f t="shared" si="185"/>
        <v>0</v>
      </c>
    </row>
    <row r="1250" spans="1:263" ht="18" customHeight="1" x14ac:dyDescent="0.2">
      <c r="A1250" s="30" t="s">
        <v>375</v>
      </c>
      <c r="B1250" s="46" t="s">
        <v>274</v>
      </c>
      <c r="C1250" s="41" t="s">
        <v>4</v>
      </c>
      <c r="D1250" s="41"/>
      <c r="E1250" s="90"/>
      <c r="F1250" s="90"/>
      <c r="G1250" s="90"/>
      <c r="H1250" s="90"/>
      <c r="I1250" s="90"/>
      <c r="J1250" s="90">
        <f>SUM(I1251:I1257)</f>
        <v>3.8025000000000002</v>
      </c>
      <c r="K1250" s="157">
        <v>4</v>
      </c>
      <c r="L1250" s="157">
        <v>500</v>
      </c>
      <c r="M1250" s="158">
        <f>+L1250*K1250</f>
        <v>2000</v>
      </c>
      <c r="O1250" s="82">
        <f t="shared" si="185"/>
        <v>0.19749999999999979</v>
      </c>
    </row>
    <row r="1251" spans="1:263" s="5" customFormat="1" ht="16.149999999999999" customHeight="1" x14ac:dyDescent="0.2">
      <c r="A1251" s="30"/>
      <c r="B1251" s="98" t="s">
        <v>465</v>
      </c>
      <c r="C1251" s="32"/>
      <c r="D1251" s="32"/>
      <c r="E1251" s="89"/>
      <c r="F1251" s="89"/>
      <c r="G1251" s="89"/>
      <c r="H1251" s="89">
        <f t="shared" ref="H1251:H1255" si="190">PRODUCT(D1251:G1251)</f>
        <v>0</v>
      </c>
      <c r="I1251" s="89"/>
      <c r="J1251" s="89"/>
      <c r="K1251" s="157"/>
      <c r="L1251" s="157"/>
      <c r="M1251" s="158"/>
      <c r="O1251" s="82">
        <f t="shared" si="185"/>
        <v>0</v>
      </c>
    </row>
    <row r="1252" spans="1:263" ht="18" customHeight="1" x14ac:dyDescent="0.2">
      <c r="A1252" s="30"/>
      <c r="B1252" s="46" t="s">
        <v>515</v>
      </c>
      <c r="C1252" s="41"/>
      <c r="D1252" s="41">
        <v>1</v>
      </c>
      <c r="E1252" s="90">
        <v>1.3</v>
      </c>
      <c r="F1252" s="90"/>
      <c r="G1252" s="90">
        <v>0.65</v>
      </c>
      <c r="H1252" s="89">
        <f t="shared" si="190"/>
        <v>0.84500000000000008</v>
      </c>
      <c r="I1252" s="80"/>
      <c r="J1252" s="90"/>
      <c r="K1252" s="157"/>
      <c r="L1252" s="157"/>
      <c r="M1252" s="158"/>
      <c r="O1252" s="82">
        <f t="shared" si="185"/>
        <v>0</v>
      </c>
    </row>
    <row r="1253" spans="1:263" ht="18" customHeight="1" x14ac:dyDescent="0.2">
      <c r="A1253" s="30"/>
      <c r="B1253" s="46"/>
      <c r="C1253" s="41"/>
      <c r="D1253" s="41"/>
      <c r="E1253" s="90"/>
      <c r="F1253" s="90"/>
      <c r="G1253" s="90"/>
      <c r="H1253" s="89"/>
      <c r="I1253" s="90">
        <f>H1252</f>
        <v>0.84500000000000008</v>
      </c>
      <c r="J1253" s="90"/>
      <c r="K1253" s="157"/>
      <c r="L1253" s="157"/>
      <c r="M1253" s="158"/>
      <c r="O1253" s="82">
        <f t="shared" si="185"/>
        <v>0</v>
      </c>
    </row>
    <row r="1254" spans="1:263" s="5" customFormat="1" ht="16.149999999999999" customHeight="1" x14ac:dyDescent="0.2">
      <c r="A1254" s="30"/>
      <c r="B1254" s="98" t="s">
        <v>530</v>
      </c>
      <c r="C1254" s="32"/>
      <c r="D1254" s="32"/>
      <c r="E1254" s="89"/>
      <c r="F1254" s="89"/>
      <c r="G1254" s="89"/>
      <c r="H1254" s="89">
        <f t="shared" si="190"/>
        <v>0</v>
      </c>
      <c r="I1254" s="89"/>
      <c r="J1254" s="89"/>
      <c r="K1254" s="157"/>
      <c r="L1254" s="157"/>
      <c r="M1254" s="158"/>
      <c r="O1254" s="82">
        <f t="shared" si="185"/>
        <v>0</v>
      </c>
    </row>
    <row r="1255" spans="1:263" ht="16.5" customHeight="1" x14ac:dyDescent="0.2">
      <c r="A1255" s="40"/>
      <c r="B1255" s="45"/>
      <c r="C1255" s="41"/>
      <c r="D1255" s="41">
        <v>1</v>
      </c>
      <c r="E1255" s="90">
        <f>1.95+1.35</f>
        <v>3.3</v>
      </c>
      <c r="F1255" s="90"/>
      <c r="G1255" s="90">
        <v>0.65</v>
      </c>
      <c r="H1255" s="89">
        <f t="shared" si="190"/>
        <v>2.145</v>
      </c>
      <c r="I1255" s="90"/>
      <c r="J1255" s="90"/>
      <c r="K1255" s="163"/>
      <c r="L1255" s="163"/>
      <c r="M1255" s="158"/>
      <c r="O1255" s="82">
        <f t="shared" si="185"/>
        <v>0</v>
      </c>
    </row>
    <row r="1256" spans="1:263" ht="16.5" customHeight="1" x14ac:dyDescent="0.2">
      <c r="A1256" s="40"/>
      <c r="B1256" s="45"/>
      <c r="C1256" s="41"/>
      <c r="D1256" s="41">
        <v>1</v>
      </c>
      <c r="E1256" s="90">
        <v>1.25</v>
      </c>
      <c r="F1256" s="90"/>
      <c r="G1256" s="90">
        <v>0.65</v>
      </c>
      <c r="H1256" s="89">
        <f t="shared" ref="H1256" si="191">PRODUCT(D1256:G1256)</f>
        <v>0.8125</v>
      </c>
      <c r="I1256" s="90"/>
      <c r="J1256" s="90"/>
      <c r="K1256" s="163"/>
      <c r="L1256" s="163"/>
      <c r="M1256" s="158"/>
      <c r="O1256" s="82">
        <f t="shared" si="185"/>
        <v>0</v>
      </c>
    </row>
    <row r="1257" spans="1:263" ht="18" customHeight="1" x14ac:dyDescent="0.2">
      <c r="A1257" s="30"/>
      <c r="B1257" s="46"/>
      <c r="C1257" s="41"/>
      <c r="D1257" s="41"/>
      <c r="E1257" s="90"/>
      <c r="F1257" s="90"/>
      <c r="G1257" s="90"/>
      <c r="H1257" s="90"/>
      <c r="I1257" s="90">
        <f>SUM(H1255:H1256)</f>
        <v>2.9575</v>
      </c>
      <c r="J1257" s="90"/>
      <c r="K1257" s="157"/>
      <c r="L1257" s="157"/>
      <c r="M1257" s="158"/>
      <c r="O1257" s="82">
        <f t="shared" si="185"/>
        <v>0</v>
      </c>
    </row>
    <row r="1258" spans="1:263" ht="18" customHeight="1" x14ac:dyDescent="0.2">
      <c r="A1258" s="253" t="s">
        <v>109</v>
      </c>
      <c r="B1258" s="254"/>
      <c r="C1258" s="254"/>
      <c r="D1258" s="254"/>
      <c r="E1258" s="254"/>
      <c r="F1258" s="254"/>
      <c r="G1258" s="254"/>
      <c r="H1258" s="254"/>
      <c r="I1258" s="254"/>
      <c r="J1258" s="254"/>
      <c r="K1258" s="254"/>
      <c r="L1258" s="255"/>
      <c r="M1258" s="159">
        <f>SUM(M1231:M1251)</f>
        <v>70000</v>
      </c>
      <c r="O1258" s="82">
        <f t="shared" si="185"/>
        <v>0</v>
      </c>
    </row>
    <row r="1259" spans="1:263" ht="18" customHeight="1" x14ac:dyDescent="0.2">
      <c r="A1259" s="24"/>
      <c r="B1259" s="25" t="s">
        <v>41</v>
      </c>
      <c r="C1259" s="26"/>
      <c r="D1259" s="26"/>
      <c r="E1259" s="88"/>
      <c r="F1259" s="88"/>
      <c r="G1259" s="88"/>
      <c r="H1259" s="88"/>
      <c r="I1259" s="88"/>
      <c r="J1259" s="88"/>
      <c r="K1259" s="155"/>
      <c r="L1259" s="155"/>
      <c r="M1259" s="158"/>
      <c r="O1259" s="82">
        <f t="shared" si="185"/>
        <v>0</v>
      </c>
    </row>
    <row r="1260" spans="1:263" ht="18" customHeight="1" x14ac:dyDescent="0.2">
      <c r="A1260" s="57" t="s">
        <v>210</v>
      </c>
      <c r="B1260" s="46" t="s">
        <v>121</v>
      </c>
      <c r="C1260" s="41" t="s">
        <v>4</v>
      </c>
      <c r="D1260" s="41"/>
      <c r="E1260" s="90"/>
      <c r="F1260" s="90"/>
      <c r="G1260" s="90"/>
      <c r="H1260" s="90"/>
      <c r="I1260" s="90"/>
      <c r="J1260" s="90">
        <f>SUM(I1261)</f>
        <v>28</v>
      </c>
      <c r="K1260" s="163">
        <v>30</v>
      </c>
      <c r="L1260" s="163">
        <v>500</v>
      </c>
      <c r="M1260" s="158">
        <f>+L1260*K1260</f>
        <v>15000</v>
      </c>
      <c r="O1260" s="82">
        <f t="shared" si="185"/>
        <v>2</v>
      </c>
    </row>
    <row r="1261" spans="1:263" s="114" customFormat="1" ht="18" customHeight="1" x14ac:dyDescent="0.2">
      <c r="A1261" s="172"/>
      <c r="B1261" s="118" t="s">
        <v>518</v>
      </c>
      <c r="C1261" s="123"/>
      <c r="D1261" s="123">
        <v>2</v>
      </c>
      <c r="E1261" s="124">
        <v>7</v>
      </c>
      <c r="F1261" s="124"/>
      <c r="G1261" s="124">
        <v>2</v>
      </c>
      <c r="H1261" s="102">
        <f t="shared" ref="H1261:H1299" si="192">PRODUCT(D1261:G1261)</f>
        <v>28</v>
      </c>
      <c r="I1261" s="124">
        <f>H1261</f>
        <v>28</v>
      </c>
      <c r="J1261" s="124"/>
      <c r="K1261" s="137"/>
      <c r="L1261" s="137"/>
      <c r="M1261" s="103"/>
      <c r="N1261" s="104"/>
      <c r="O1261" s="82">
        <f t="shared" si="185"/>
        <v>0</v>
      </c>
      <c r="P1261" s="104"/>
      <c r="Q1261" s="104"/>
      <c r="R1261" s="104"/>
      <c r="S1261" s="104"/>
      <c r="T1261" s="104"/>
      <c r="U1261" s="104"/>
      <c r="V1261" s="104"/>
      <c r="W1261" s="104"/>
      <c r="X1261" s="104"/>
      <c r="Y1261" s="104"/>
      <c r="Z1261" s="104"/>
      <c r="AA1261" s="104"/>
      <c r="AB1261" s="104"/>
      <c r="AC1261" s="104"/>
      <c r="AD1261" s="104"/>
      <c r="AE1261" s="104"/>
      <c r="AF1261" s="104"/>
      <c r="AG1261" s="104"/>
      <c r="AH1261" s="104"/>
      <c r="AI1261" s="104"/>
      <c r="AJ1261" s="104"/>
      <c r="AK1261" s="104"/>
      <c r="AL1261" s="104"/>
      <c r="AM1261" s="104"/>
      <c r="AN1261" s="104"/>
      <c r="AO1261" s="104"/>
      <c r="AP1261" s="104"/>
      <c r="AQ1261" s="104"/>
      <c r="AR1261" s="104"/>
      <c r="AS1261" s="104"/>
      <c r="AT1261" s="104"/>
      <c r="AU1261" s="104"/>
      <c r="AV1261" s="104"/>
      <c r="AW1261" s="104"/>
      <c r="AX1261" s="104"/>
      <c r="AY1261" s="104"/>
      <c r="AZ1261" s="104"/>
      <c r="BA1261" s="104"/>
      <c r="BB1261" s="104"/>
      <c r="BC1261" s="104"/>
      <c r="BD1261" s="104"/>
      <c r="BE1261" s="104"/>
      <c r="BF1261" s="104"/>
      <c r="BG1261" s="104"/>
      <c r="BH1261" s="104"/>
      <c r="BI1261" s="104"/>
      <c r="BJ1261" s="104"/>
      <c r="BK1261" s="104"/>
      <c r="BL1261" s="104"/>
      <c r="BM1261" s="104"/>
      <c r="BN1261" s="104"/>
      <c r="BO1261" s="104"/>
      <c r="BP1261" s="104"/>
      <c r="BQ1261" s="104"/>
      <c r="BR1261" s="104"/>
      <c r="BS1261" s="104"/>
      <c r="BT1261" s="104"/>
      <c r="BU1261" s="104"/>
      <c r="BV1261" s="104"/>
      <c r="BW1261" s="104"/>
      <c r="BX1261" s="104"/>
      <c r="BY1261" s="104"/>
      <c r="BZ1261" s="104"/>
      <c r="CA1261" s="104"/>
      <c r="CB1261" s="104"/>
      <c r="CC1261" s="104"/>
      <c r="CD1261" s="104"/>
      <c r="CE1261" s="104"/>
      <c r="CF1261" s="104"/>
      <c r="CG1261" s="104"/>
      <c r="CH1261" s="104"/>
      <c r="CI1261" s="104"/>
      <c r="CJ1261" s="104"/>
      <c r="CK1261" s="104"/>
      <c r="CL1261" s="104"/>
      <c r="CM1261" s="104"/>
      <c r="CN1261" s="104"/>
      <c r="CO1261" s="104"/>
      <c r="CP1261" s="104"/>
      <c r="CQ1261" s="104"/>
      <c r="CR1261" s="104"/>
      <c r="CS1261" s="104"/>
      <c r="CT1261" s="104"/>
      <c r="CU1261" s="104"/>
      <c r="CV1261" s="104"/>
      <c r="CW1261" s="104"/>
      <c r="CX1261" s="104"/>
      <c r="CY1261" s="104"/>
      <c r="CZ1261" s="104"/>
      <c r="DA1261" s="104"/>
      <c r="DB1261" s="104"/>
      <c r="DC1261" s="104"/>
      <c r="DD1261" s="104"/>
      <c r="DE1261" s="104"/>
      <c r="DF1261" s="104"/>
      <c r="DG1261" s="104"/>
      <c r="DH1261" s="104"/>
      <c r="DI1261" s="104"/>
      <c r="DJ1261" s="104"/>
      <c r="DK1261" s="104"/>
      <c r="DL1261" s="104"/>
      <c r="DM1261" s="104"/>
      <c r="DN1261" s="104"/>
      <c r="DO1261" s="104"/>
      <c r="DP1261" s="104"/>
      <c r="DQ1261" s="104"/>
      <c r="DR1261" s="104"/>
      <c r="DS1261" s="104"/>
      <c r="DT1261" s="104"/>
      <c r="DU1261" s="104"/>
      <c r="DV1261" s="104"/>
      <c r="DW1261" s="104"/>
      <c r="DX1261" s="104"/>
      <c r="DY1261" s="104"/>
      <c r="DZ1261" s="104"/>
      <c r="EA1261" s="104"/>
      <c r="EB1261" s="104"/>
      <c r="EC1261" s="104"/>
      <c r="ED1261" s="104"/>
      <c r="EE1261" s="104"/>
      <c r="EF1261" s="104"/>
      <c r="EG1261" s="104"/>
      <c r="EH1261" s="104"/>
      <c r="EI1261" s="104"/>
      <c r="EJ1261" s="104"/>
      <c r="EK1261" s="104"/>
      <c r="EL1261" s="104"/>
      <c r="EM1261" s="104"/>
      <c r="EN1261" s="104"/>
      <c r="EO1261" s="104"/>
      <c r="EP1261" s="104"/>
      <c r="EQ1261" s="104"/>
      <c r="ER1261" s="104"/>
      <c r="ES1261" s="104"/>
      <c r="ET1261" s="104"/>
      <c r="EU1261" s="104"/>
      <c r="EV1261" s="104"/>
      <c r="EW1261" s="104"/>
      <c r="EX1261" s="104"/>
      <c r="EY1261" s="104"/>
      <c r="EZ1261" s="104"/>
      <c r="FA1261" s="104"/>
      <c r="FB1261" s="104"/>
      <c r="FC1261" s="104"/>
      <c r="FD1261" s="104"/>
      <c r="FE1261" s="104"/>
      <c r="FF1261" s="104"/>
      <c r="FG1261" s="104"/>
      <c r="FH1261" s="104"/>
      <c r="FI1261" s="104"/>
      <c r="FJ1261" s="104"/>
      <c r="FK1261" s="104"/>
      <c r="FL1261" s="104"/>
      <c r="FM1261" s="104"/>
      <c r="FN1261" s="104"/>
      <c r="FO1261" s="104"/>
      <c r="FP1261" s="104"/>
      <c r="FQ1261" s="104"/>
      <c r="FR1261" s="104"/>
      <c r="FS1261" s="104"/>
      <c r="FT1261" s="104"/>
      <c r="FU1261" s="104"/>
      <c r="FV1261" s="104"/>
      <c r="FW1261" s="104"/>
      <c r="FX1261" s="104"/>
      <c r="FY1261" s="104"/>
      <c r="FZ1261" s="104"/>
      <c r="GA1261" s="104"/>
      <c r="GB1261" s="104"/>
      <c r="GC1261" s="104"/>
      <c r="GD1261" s="104"/>
      <c r="GE1261" s="104"/>
      <c r="GF1261" s="104"/>
      <c r="GG1261" s="104"/>
      <c r="GH1261" s="104"/>
      <c r="GI1261" s="104"/>
      <c r="GJ1261" s="104"/>
      <c r="GK1261" s="104"/>
      <c r="GL1261" s="104"/>
      <c r="GM1261" s="104"/>
      <c r="GN1261" s="104"/>
      <c r="GO1261" s="104"/>
      <c r="GP1261" s="104"/>
      <c r="GQ1261" s="104"/>
      <c r="GR1261" s="104"/>
      <c r="GS1261" s="104"/>
      <c r="GT1261" s="104"/>
      <c r="GU1261" s="104"/>
      <c r="GV1261" s="104"/>
      <c r="GW1261" s="104"/>
      <c r="GX1261" s="104"/>
      <c r="GY1261" s="104"/>
      <c r="GZ1261" s="104"/>
      <c r="HA1261" s="104"/>
      <c r="HB1261" s="104"/>
      <c r="HC1261" s="104"/>
      <c r="HD1261" s="104"/>
      <c r="HE1261" s="104"/>
      <c r="HF1261" s="104"/>
      <c r="HG1261" s="104"/>
      <c r="HH1261" s="104"/>
      <c r="HI1261" s="104"/>
      <c r="HJ1261" s="104"/>
      <c r="HK1261" s="104"/>
      <c r="HL1261" s="104"/>
      <c r="HM1261" s="104"/>
      <c r="HN1261" s="104"/>
      <c r="HO1261" s="104"/>
      <c r="HP1261" s="104"/>
      <c r="HQ1261" s="104"/>
      <c r="HR1261" s="104"/>
      <c r="HS1261" s="104"/>
      <c r="HT1261" s="104"/>
      <c r="HU1261" s="104"/>
      <c r="HV1261" s="104"/>
      <c r="HW1261" s="104"/>
      <c r="HX1261" s="104"/>
      <c r="HY1261" s="104"/>
      <c r="HZ1261" s="104"/>
      <c r="IA1261" s="104"/>
      <c r="IB1261" s="104"/>
      <c r="IC1261" s="104"/>
      <c r="ID1261" s="104"/>
      <c r="IE1261" s="104"/>
      <c r="IF1261" s="104"/>
      <c r="IG1261" s="104"/>
      <c r="IH1261" s="104"/>
      <c r="II1261" s="104"/>
      <c r="IJ1261" s="104"/>
      <c r="IK1261" s="104"/>
      <c r="IL1261" s="104"/>
      <c r="IM1261" s="104"/>
      <c r="IN1261" s="104"/>
      <c r="IO1261" s="104"/>
      <c r="IP1261" s="104"/>
      <c r="IQ1261" s="104"/>
      <c r="IR1261" s="104"/>
      <c r="IS1261" s="104"/>
      <c r="IT1261" s="104"/>
      <c r="IU1261" s="104"/>
      <c r="IV1261" s="104"/>
      <c r="IW1261" s="104"/>
      <c r="IX1261" s="104"/>
      <c r="IY1261" s="104"/>
      <c r="IZ1261" s="104"/>
      <c r="JA1261" s="104"/>
      <c r="JB1261" s="104"/>
      <c r="JC1261" s="104"/>
    </row>
    <row r="1262" spans="1:263" ht="18" customHeight="1" x14ac:dyDescent="0.2">
      <c r="A1262" s="57"/>
      <c r="B1262" s="46"/>
      <c r="C1262" s="41"/>
      <c r="D1262" s="41"/>
      <c r="E1262" s="90"/>
      <c r="F1262" s="90"/>
      <c r="G1262" s="90"/>
      <c r="H1262" s="89">
        <f t="shared" si="192"/>
        <v>0</v>
      </c>
      <c r="I1262" s="90"/>
      <c r="J1262" s="90"/>
      <c r="K1262" s="163"/>
      <c r="L1262" s="163"/>
      <c r="M1262" s="158"/>
      <c r="O1262" s="82">
        <f t="shared" si="185"/>
        <v>0</v>
      </c>
    </row>
    <row r="1263" spans="1:263" ht="18" customHeight="1" x14ac:dyDescent="0.2">
      <c r="A1263" s="57" t="s">
        <v>211</v>
      </c>
      <c r="B1263" s="46" t="s">
        <v>516</v>
      </c>
      <c r="C1263" s="41" t="s">
        <v>4</v>
      </c>
      <c r="D1263" s="41"/>
      <c r="E1263" s="90"/>
      <c r="F1263" s="90"/>
      <c r="G1263" s="90"/>
      <c r="H1263" s="89">
        <f t="shared" si="192"/>
        <v>0</v>
      </c>
      <c r="I1263" s="90"/>
      <c r="J1263" s="90">
        <f>SUM(I1263:I1265)</f>
        <v>25.08</v>
      </c>
      <c r="K1263" s="163">
        <v>26</v>
      </c>
      <c r="L1263" s="163">
        <v>550</v>
      </c>
      <c r="M1263" s="158">
        <f>+L1263*K1263</f>
        <v>14300</v>
      </c>
      <c r="O1263" s="82">
        <f t="shared" si="185"/>
        <v>0.92000000000000171</v>
      </c>
    </row>
    <row r="1264" spans="1:263" s="5" customFormat="1" ht="16.149999999999999" customHeight="1" x14ac:dyDescent="0.2">
      <c r="A1264" s="30"/>
      <c r="B1264" s="98" t="s">
        <v>464</v>
      </c>
      <c r="C1264" s="32"/>
      <c r="D1264" s="32"/>
      <c r="E1264" s="89"/>
      <c r="F1264" s="89"/>
      <c r="G1264" s="89"/>
      <c r="H1264" s="89"/>
      <c r="I1264" s="89"/>
      <c r="K1264" s="157"/>
      <c r="L1264" s="157"/>
      <c r="M1264" s="158"/>
      <c r="O1264" s="82">
        <f t="shared" si="185"/>
        <v>0</v>
      </c>
    </row>
    <row r="1265" spans="1:15" ht="16.5" customHeight="1" x14ac:dyDescent="0.2">
      <c r="A1265" s="40"/>
      <c r="B1265" s="45"/>
      <c r="C1265" s="41"/>
      <c r="D1265" s="41">
        <v>10</v>
      </c>
      <c r="E1265" s="90">
        <v>1.1399999999999999</v>
      </c>
      <c r="F1265" s="90"/>
      <c r="G1265" s="90">
        <v>2.2000000000000002</v>
      </c>
      <c r="H1265" s="89">
        <f t="shared" ref="H1265" si="193">PRODUCT(D1265:G1265)</f>
        <v>25.08</v>
      </c>
      <c r="I1265" s="90">
        <f>SUM(H1265:H1265)</f>
        <v>25.08</v>
      </c>
      <c r="J1265" s="90"/>
      <c r="K1265" s="163"/>
      <c r="L1265" s="163"/>
      <c r="M1265" s="158"/>
      <c r="O1265" s="82">
        <f t="shared" si="185"/>
        <v>0</v>
      </c>
    </row>
    <row r="1266" spans="1:15" ht="18" customHeight="1" x14ac:dyDescent="0.2">
      <c r="A1266" s="57"/>
      <c r="B1266" s="46"/>
      <c r="C1266" s="41"/>
      <c r="D1266" s="41"/>
      <c r="E1266" s="90"/>
      <c r="F1266" s="90"/>
      <c r="G1266" s="90"/>
      <c r="H1266" s="89"/>
      <c r="I1266" s="90"/>
      <c r="J1266" s="90"/>
      <c r="K1266" s="163"/>
      <c r="L1266" s="163"/>
      <c r="M1266" s="158"/>
      <c r="O1266" s="82">
        <f t="shared" si="185"/>
        <v>0</v>
      </c>
    </row>
    <row r="1267" spans="1:15" ht="18" customHeight="1" x14ac:dyDescent="0.2">
      <c r="A1267" s="57" t="s">
        <v>211</v>
      </c>
      <c r="B1267" s="46" t="s">
        <v>517</v>
      </c>
      <c r="C1267" s="41" t="s">
        <v>4</v>
      </c>
      <c r="D1267" s="41"/>
      <c r="E1267" s="90"/>
      <c r="F1267" s="90"/>
      <c r="G1267" s="90"/>
      <c r="H1267" s="89">
        <f t="shared" si="192"/>
        <v>0</v>
      </c>
      <c r="I1267" s="90"/>
      <c r="J1267" s="90">
        <f>SUM(I1269:I1280)</f>
        <v>21.78</v>
      </c>
      <c r="K1267" s="163">
        <v>23</v>
      </c>
      <c r="L1267" s="163">
        <v>550</v>
      </c>
      <c r="M1267" s="158">
        <f>+L1267*K1267</f>
        <v>12650</v>
      </c>
      <c r="O1267" s="82">
        <f t="shared" si="185"/>
        <v>1.2199999999999989</v>
      </c>
    </row>
    <row r="1268" spans="1:15" s="5" customFormat="1" ht="16.149999999999999" customHeight="1" x14ac:dyDescent="0.2">
      <c r="A1268" s="30"/>
      <c r="B1268" s="98" t="s">
        <v>465</v>
      </c>
      <c r="C1268" s="32"/>
      <c r="D1268" s="32"/>
      <c r="E1268" s="89"/>
      <c r="F1268" s="89"/>
      <c r="G1268" s="89"/>
      <c r="H1268" s="89">
        <f t="shared" si="192"/>
        <v>0</v>
      </c>
      <c r="I1268" s="89"/>
      <c r="J1268" s="89"/>
      <c r="K1268" s="157"/>
      <c r="L1268" s="157"/>
      <c r="M1268" s="158"/>
      <c r="O1268" s="82">
        <f t="shared" si="185"/>
        <v>0</v>
      </c>
    </row>
    <row r="1269" spans="1:15" ht="16.5" customHeight="1" x14ac:dyDescent="0.2">
      <c r="A1269" s="40"/>
      <c r="B1269" s="45"/>
      <c r="C1269" s="41"/>
      <c r="D1269" s="41">
        <v>1</v>
      </c>
      <c r="E1269" s="90">
        <v>2</v>
      </c>
      <c r="F1269" s="90"/>
      <c r="G1269" s="90">
        <v>2.2000000000000002</v>
      </c>
      <c r="H1269" s="89">
        <f t="shared" si="192"/>
        <v>4.4000000000000004</v>
      </c>
      <c r="I1269" s="80"/>
      <c r="J1269" s="90"/>
      <c r="K1269" s="163"/>
      <c r="L1269" s="163"/>
      <c r="M1269" s="158"/>
      <c r="O1269" s="82">
        <f t="shared" si="185"/>
        <v>0</v>
      </c>
    </row>
    <row r="1270" spans="1:15" ht="16.5" customHeight="1" x14ac:dyDescent="0.2">
      <c r="A1270" s="40"/>
      <c r="B1270" s="45"/>
      <c r="C1270" s="41"/>
      <c r="D1270" s="41">
        <v>1</v>
      </c>
      <c r="E1270" s="90">
        <v>1</v>
      </c>
      <c r="F1270" s="90"/>
      <c r="G1270" s="90">
        <v>2.2000000000000002</v>
      </c>
      <c r="H1270" s="89">
        <f t="shared" si="192"/>
        <v>2.2000000000000002</v>
      </c>
      <c r="I1270" s="90"/>
      <c r="J1270" s="90"/>
      <c r="K1270" s="163"/>
      <c r="L1270" s="163"/>
      <c r="M1270" s="158"/>
      <c r="O1270" s="82">
        <f t="shared" si="185"/>
        <v>0</v>
      </c>
    </row>
    <row r="1271" spans="1:15" ht="16.5" customHeight="1" x14ac:dyDescent="0.2">
      <c r="A1271" s="40"/>
      <c r="B1271" s="45"/>
      <c r="C1271" s="41"/>
      <c r="D1271" s="41"/>
      <c r="E1271" s="90"/>
      <c r="F1271" s="90"/>
      <c r="G1271" s="90"/>
      <c r="H1271" s="89"/>
      <c r="I1271" s="90">
        <f>SUM(H1269:H1270)</f>
        <v>6.6000000000000005</v>
      </c>
      <c r="J1271" s="90"/>
      <c r="K1271" s="163"/>
      <c r="L1271" s="163"/>
      <c r="M1271" s="158"/>
      <c r="O1271" s="82">
        <f t="shared" si="185"/>
        <v>0</v>
      </c>
    </row>
    <row r="1272" spans="1:15" s="5" customFormat="1" ht="16.149999999999999" customHeight="1" x14ac:dyDescent="0.2">
      <c r="A1272" s="30"/>
      <c r="B1272" s="98" t="s">
        <v>530</v>
      </c>
      <c r="C1272" s="32"/>
      <c r="D1272" s="32"/>
      <c r="E1272" s="89"/>
      <c r="F1272" s="89"/>
      <c r="G1272" s="89"/>
      <c r="H1272" s="89">
        <f t="shared" si="192"/>
        <v>0</v>
      </c>
      <c r="I1272" s="89"/>
      <c r="J1272" s="89"/>
      <c r="K1272" s="157"/>
      <c r="L1272" s="157"/>
      <c r="M1272" s="158"/>
      <c r="O1272" s="82">
        <f t="shared" si="185"/>
        <v>0</v>
      </c>
    </row>
    <row r="1273" spans="1:15" ht="16.5" customHeight="1" x14ac:dyDescent="0.2">
      <c r="A1273" s="40"/>
      <c r="B1273" s="45"/>
      <c r="C1273" s="41"/>
      <c r="D1273" s="41">
        <v>1</v>
      </c>
      <c r="E1273" s="90">
        <v>1.2</v>
      </c>
      <c r="F1273" s="90"/>
      <c r="G1273" s="90">
        <v>2.2000000000000002</v>
      </c>
      <c r="H1273" s="89">
        <f t="shared" si="192"/>
        <v>2.64</v>
      </c>
      <c r="I1273" s="90"/>
      <c r="J1273" s="90"/>
      <c r="K1273" s="163"/>
      <c r="L1273" s="163"/>
      <c r="M1273" s="158"/>
      <c r="O1273" s="82">
        <f t="shared" si="185"/>
        <v>0</v>
      </c>
    </row>
    <row r="1274" spans="1:15" ht="18" customHeight="1" x14ac:dyDescent="0.2">
      <c r="A1274" s="30"/>
      <c r="B1274" s="46"/>
      <c r="C1274" s="41"/>
      <c r="D1274" s="41"/>
      <c r="E1274" s="90"/>
      <c r="F1274" s="90"/>
      <c r="G1274" s="90"/>
      <c r="H1274" s="90"/>
      <c r="I1274" s="90">
        <f>SUM(H1273:H1273)</f>
        <v>2.64</v>
      </c>
      <c r="J1274" s="90"/>
      <c r="K1274" s="157"/>
      <c r="L1274" s="157"/>
      <c r="M1274" s="158"/>
      <c r="O1274" s="82">
        <f t="shared" si="185"/>
        <v>0</v>
      </c>
    </row>
    <row r="1275" spans="1:15" s="5" customFormat="1" ht="16.149999999999999" customHeight="1" x14ac:dyDescent="0.2">
      <c r="A1275" s="30"/>
      <c r="B1275" s="98" t="s">
        <v>466</v>
      </c>
      <c r="C1275" s="32"/>
      <c r="D1275" s="32"/>
      <c r="E1275" s="89"/>
      <c r="F1275" s="89"/>
      <c r="G1275" s="89"/>
      <c r="H1275" s="89">
        <f t="shared" si="192"/>
        <v>0</v>
      </c>
      <c r="I1275" s="89"/>
      <c r="J1275" s="89"/>
      <c r="K1275" s="157"/>
      <c r="L1275" s="157"/>
      <c r="M1275" s="158"/>
      <c r="O1275" s="82">
        <f t="shared" si="185"/>
        <v>0</v>
      </c>
    </row>
    <row r="1276" spans="1:15" ht="16.5" customHeight="1" x14ac:dyDescent="0.2">
      <c r="A1276" s="40"/>
      <c r="B1276" s="45"/>
      <c r="C1276" s="41"/>
      <c r="D1276" s="41">
        <v>4</v>
      </c>
      <c r="E1276" s="90">
        <v>1.2</v>
      </c>
      <c r="F1276" s="90"/>
      <c r="G1276" s="90">
        <v>2.2000000000000002</v>
      </c>
      <c r="H1276" s="89">
        <f t="shared" si="192"/>
        <v>10.56</v>
      </c>
      <c r="I1276" s="90"/>
      <c r="J1276" s="90"/>
      <c r="K1276" s="163"/>
      <c r="L1276" s="163"/>
      <c r="M1276" s="158"/>
      <c r="O1276" s="82">
        <f t="shared" si="185"/>
        <v>0</v>
      </c>
    </row>
    <row r="1277" spans="1:15" ht="16.5" customHeight="1" x14ac:dyDescent="0.2">
      <c r="A1277" s="40"/>
      <c r="B1277" s="45"/>
      <c r="C1277" s="41"/>
      <c r="D1277" s="41"/>
      <c r="E1277" s="90"/>
      <c r="F1277" s="90"/>
      <c r="G1277" s="90"/>
      <c r="H1277" s="89">
        <f t="shared" si="192"/>
        <v>0</v>
      </c>
      <c r="I1277" s="90">
        <f>SUM(H1276:H1276)</f>
        <v>10.56</v>
      </c>
      <c r="J1277" s="90"/>
      <c r="K1277" s="163"/>
      <c r="L1277" s="163"/>
      <c r="M1277" s="158"/>
      <c r="O1277" s="82">
        <f t="shared" si="185"/>
        <v>0</v>
      </c>
    </row>
    <row r="1278" spans="1:15" s="5" customFormat="1" ht="16.149999999999999" customHeight="1" x14ac:dyDescent="0.2">
      <c r="A1278" s="30"/>
      <c r="B1278" s="98" t="s">
        <v>467</v>
      </c>
      <c r="C1278" s="32"/>
      <c r="D1278" s="32"/>
      <c r="E1278" s="89"/>
      <c r="F1278" s="89"/>
      <c r="G1278" s="89"/>
      <c r="H1278" s="89">
        <f t="shared" si="192"/>
        <v>0</v>
      </c>
      <c r="I1278" s="90">
        <f t="shared" ref="I1278:I1279" si="194">SUM(H1277:H1277)</f>
        <v>0</v>
      </c>
      <c r="J1278" s="89"/>
      <c r="K1278" s="157"/>
      <c r="L1278" s="157"/>
      <c r="M1278" s="158"/>
      <c r="O1278" s="82">
        <f t="shared" si="185"/>
        <v>0</v>
      </c>
    </row>
    <row r="1279" spans="1:15" ht="15.95" customHeight="1" x14ac:dyDescent="0.2">
      <c r="A1279" s="40"/>
      <c r="B1279" s="45"/>
      <c r="C1279" s="41"/>
      <c r="D1279" s="41">
        <v>1</v>
      </c>
      <c r="E1279" s="90">
        <v>0.9</v>
      </c>
      <c r="F1279" s="90"/>
      <c r="G1279" s="90">
        <v>2.2000000000000002</v>
      </c>
      <c r="H1279" s="89">
        <f t="shared" si="192"/>
        <v>1.9800000000000002</v>
      </c>
      <c r="I1279" s="90">
        <f t="shared" si="194"/>
        <v>0</v>
      </c>
      <c r="J1279" s="90"/>
      <c r="K1279" s="163"/>
      <c r="L1279" s="163"/>
      <c r="M1279" s="158"/>
      <c r="N1279" s="43"/>
      <c r="O1279" s="82">
        <f t="shared" si="185"/>
        <v>0</v>
      </c>
    </row>
    <row r="1280" spans="1:15" ht="15.95" customHeight="1" x14ac:dyDescent="0.2">
      <c r="A1280" s="40"/>
      <c r="B1280" s="45"/>
      <c r="C1280" s="41"/>
      <c r="D1280" s="41"/>
      <c r="E1280" s="90"/>
      <c r="F1280" s="90"/>
      <c r="G1280" s="90"/>
      <c r="H1280" s="89"/>
      <c r="I1280" s="90">
        <f>SUM(H1279:H1280)</f>
        <v>1.9800000000000002</v>
      </c>
      <c r="J1280" s="90"/>
      <c r="K1280" s="163"/>
      <c r="L1280" s="163"/>
      <c r="M1280" s="158"/>
      <c r="N1280" s="116"/>
      <c r="O1280" s="82">
        <f t="shared" si="185"/>
        <v>0</v>
      </c>
    </row>
    <row r="1281" spans="1:15" ht="18" customHeight="1" x14ac:dyDescent="0.2">
      <c r="A1281" s="57" t="s">
        <v>212</v>
      </c>
      <c r="B1281" s="46" t="s">
        <v>93</v>
      </c>
      <c r="C1281" s="41" t="s">
        <v>4</v>
      </c>
      <c r="D1281" s="41"/>
      <c r="E1281" s="90"/>
      <c r="F1281" s="90"/>
      <c r="G1281" s="90"/>
      <c r="H1281" s="89">
        <f t="shared" si="192"/>
        <v>0</v>
      </c>
      <c r="I1281" s="90"/>
      <c r="J1281" s="90">
        <f>SUM(I1283:I1297)</f>
        <v>65.7</v>
      </c>
      <c r="K1281" s="163">
        <v>68</v>
      </c>
      <c r="L1281" s="163">
        <v>400</v>
      </c>
      <c r="M1281" s="158">
        <f>+L1281*K1281</f>
        <v>27200</v>
      </c>
      <c r="O1281" s="82">
        <f t="shared" si="185"/>
        <v>2.2999999999999972</v>
      </c>
    </row>
    <row r="1282" spans="1:15" s="5" customFormat="1" ht="16.149999999999999" customHeight="1" x14ac:dyDescent="0.2">
      <c r="A1282" s="30"/>
      <c r="B1282" s="98" t="s">
        <v>464</v>
      </c>
      <c r="C1282" s="32"/>
      <c r="D1282" s="32"/>
      <c r="E1282" s="89"/>
      <c r="F1282" s="89"/>
      <c r="G1282" s="89"/>
      <c r="H1282" s="89"/>
      <c r="I1282" s="89"/>
      <c r="K1282" s="157"/>
      <c r="L1282" s="157"/>
      <c r="M1282" s="158"/>
      <c r="O1282" s="82">
        <f t="shared" si="185"/>
        <v>0</v>
      </c>
    </row>
    <row r="1283" spans="1:15" ht="16.5" customHeight="1" x14ac:dyDescent="0.2">
      <c r="A1283" s="40"/>
      <c r="B1283" s="45"/>
      <c r="C1283" s="41"/>
      <c r="D1283" s="41">
        <f>4*10</f>
        <v>40</v>
      </c>
      <c r="E1283" s="90">
        <v>0.9</v>
      </c>
      <c r="F1283" s="90"/>
      <c r="G1283" s="90">
        <v>1.2</v>
      </c>
      <c r="H1283" s="89">
        <f t="shared" ref="H1283:H1286" si="195">PRODUCT(D1283:G1283)</f>
        <v>43.199999999999996</v>
      </c>
      <c r="I1283" s="90">
        <f>SUM(H1283:H1283)</f>
        <v>43.199999999999996</v>
      </c>
      <c r="J1283" s="90"/>
      <c r="K1283" s="163"/>
      <c r="L1283" s="163"/>
      <c r="M1283" s="158"/>
      <c r="O1283" s="82">
        <f t="shared" si="185"/>
        <v>0</v>
      </c>
    </row>
    <row r="1284" spans="1:15" s="5" customFormat="1" ht="16.149999999999999" customHeight="1" x14ac:dyDescent="0.2">
      <c r="A1284" s="30"/>
      <c r="B1284" s="98" t="s">
        <v>465</v>
      </c>
      <c r="C1284" s="32"/>
      <c r="D1284" s="32"/>
      <c r="E1284" s="89"/>
      <c r="F1284" s="89"/>
      <c r="G1284" s="89"/>
      <c r="H1284" s="89">
        <f t="shared" si="195"/>
        <v>0</v>
      </c>
      <c r="I1284" s="89"/>
      <c r="J1284" s="89"/>
      <c r="K1284" s="157"/>
      <c r="L1284" s="157"/>
      <c r="M1284" s="158"/>
      <c r="O1284" s="82">
        <f t="shared" si="185"/>
        <v>0</v>
      </c>
    </row>
    <row r="1285" spans="1:15" ht="16.5" customHeight="1" x14ac:dyDescent="0.2">
      <c r="A1285" s="40"/>
      <c r="B1285" s="45"/>
      <c r="C1285" s="41"/>
      <c r="D1285" s="41">
        <v>7</v>
      </c>
      <c r="E1285" s="90">
        <v>0.9</v>
      </c>
      <c r="F1285" s="90"/>
      <c r="G1285" s="90">
        <v>1.2</v>
      </c>
      <c r="H1285" s="89">
        <f t="shared" si="195"/>
        <v>7.56</v>
      </c>
      <c r="I1285" s="80"/>
      <c r="J1285" s="90"/>
      <c r="K1285" s="163"/>
      <c r="L1285" s="163"/>
      <c r="M1285" s="158"/>
      <c r="O1285" s="82">
        <f t="shared" si="185"/>
        <v>0</v>
      </c>
    </row>
    <row r="1286" spans="1:15" ht="16.5" customHeight="1" x14ac:dyDescent="0.2">
      <c r="A1286" s="40"/>
      <c r="B1286" s="45"/>
      <c r="C1286" s="41"/>
      <c r="D1286" s="41">
        <v>2</v>
      </c>
      <c r="E1286" s="90">
        <v>0.9</v>
      </c>
      <c r="F1286" s="90"/>
      <c r="G1286" s="90">
        <v>0.5</v>
      </c>
      <c r="H1286" s="89">
        <f t="shared" si="195"/>
        <v>0.9</v>
      </c>
      <c r="I1286" s="90"/>
      <c r="J1286" s="90"/>
      <c r="K1286" s="163"/>
      <c r="L1286" s="163"/>
      <c r="M1286" s="158"/>
      <c r="O1286" s="82">
        <f t="shared" si="185"/>
        <v>0</v>
      </c>
    </row>
    <row r="1287" spans="1:15" ht="16.5" customHeight="1" x14ac:dyDescent="0.2">
      <c r="A1287" s="40"/>
      <c r="B1287" s="45"/>
      <c r="C1287" s="41"/>
      <c r="D1287" s="41"/>
      <c r="E1287" s="90"/>
      <c r="F1287" s="90"/>
      <c r="G1287" s="90"/>
      <c r="H1287" s="89"/>
      <c r="I1287" s="90">
        <f>SUM(H1285:H1286)</f>
        <v>8.4599999999999991</v>
      </c>
      <c r="J1287" s="90"/>
      <c r="K1287" s="163"/>
      <c r="L1287" s="163"/>
      <c r="M1287" s="158"/>
      <c r="O1287" s="82">
        <f t="shared" si="185"/>
        <v>0</v>
      </c>
    </row>
    <row r="1288" spans="1:15" s="5" customFormat="1" ht="16.149999999999999" customHeight="1" x14ac:dyDescent="0.2">
      <c r="A1288" s="30"/>
      <c r="B1288" s="98" t="s">
        <v>530</v>
      </c>
      <c r="C1288" s="32"/>
      <c r="D1288" s="32"/>
      <c r="E1288" s="89"/>
      <c r="F1288" s="89"/>
      <c r="G1288" s="89"/>
      <c r="H1288" s="89">
        <f t="shared" ref="H1288:H1290" si="196">PRODUCT(D1288:G1288)</f>
        <v>0</v>
      </c>
      <c r="I1288" s="89"/>
      <c r="J1288" s="89"/>
      <c r="K1288" s="157"/>
      <c r="L1288" s="157"/>
      <c r="M1288" s="158"/>
      <c r="O1288" s="82">
        <f t="shared" si="185"/>
        <v>0</v>
      </c>
    </row>
    <row r="1289" spans="1:15" ht="16.5" customHeight="1" x14ac:dyDescent="0.2">
      <c r="A1289" s="40"/>
      <c r="B1289" s="45"/>
      <c r="C1289" s="41"/>
      <c r="D1289" s="41">
        <v>6</v>
      </c>
      <c r="E1289" s="90">
        <v>0.9</v>
      </c>
      <c r="F1289" s="90"/>
      <c r="G1289" s="90">
        <v>1.2</v>
      </c>
      <c r="H1289" s="89">
        <f t="shared" si="196"/>
        <v>6.48</v>
      </c>
      <c r="I1289" s="90"/>
      <c r="J1289" s="90"/>
      <c r="K1289" s="163"/>
      <c r="L1289" s="163"/>
      <c r="M1289" s="158"/>
      <c r="O1289" s="82">
        <f t="shared" si="185"/>
        <v>0</v>
      </c>
    </row>
    <row r="1290" spans="1:15" ht="16.5" customHeight="1" x14ac:dyDescent="0.2">
      <c r="A1290" s="40"/>
      <c r="B1290" s="45"/>
      <c r="C1290" s="41"/>
      <c r="D1290" s="41">
        <v>2</v>
      </c>
      <c r="E1290" s="90">
        <v>0.9</v>
      </c>
      <c r="F1290" s="90"/>
      <c r="G1290" s="90">
        <v>0.5</v>
      </c>
      <c r="H1290" s="89">
        <f t="shared" si="196"/>
        <v>0.9</v>
      </c>
      <c r="I1290" s="90"/>
      <c r="J1290" s="90"/>
      <c r="K1290" s="163"/>
      <c r="L1290" s="163"/>
      <c r="M1290" s="158"/>
      <c r="O1290" s="82">
        <f t="shared" si="185"/>
        <v>0</v>
      </c>
    </row>
    <row r="1291" spans="1:15" ht="16.5" customHeight="1" x14ac:dyDescent="0.2">
      <c r="A1291" s="40"/>
      <c r="B1291" s="45"/>
      <c r="C1291" s="41"/>
      <c r="D1291" s="41"/>
      <c r="E1291" s="90"/>
      <c r="F1291" s="90"/>
      <c r="G1291" s="90"/>
      <c r="H1291" s="89"/>
      <c r="I1291" s="90">
        <f>SUM(H1289:H1289)</f>
        <v>6.48</v>
      </c>
      <c r="J1291" s="90"/>
      <c r="K1291" s="163"/>
      <c r="L1291" s="163"/>
      <c r="M1291" s="158"/>
      <c r="O1291" s="82">
        <f t="shared" ref="O1291:O1354" si="197">K1291-J1291</f>
        <v>0</v>
      </c>
    </row>
    <row r="1292" spans="1:15" s="5" customFormat="1" ht="16.149999999999999" customHeight="1" x14ac:dyDescent="0.2">
      <c r="A1292" s="30"/>
      <c r="B1292" s="98" t="s">
        <v>466</v>
      </c>
      <c r="C1292" s="32"/>
      <c r="D1292" s="32"/>
      <c r="E1292" s="89"/>
      <c r="F1292" s="89"/>
      <c r="G1292" s="89"/>
      <c r="H1292" s="89">
        <f t="shared" ref="H1292:H1296" si="198">PRODUCT(D1292:G1292)</f>
        <v>0</v>
      </c>
      <c r="I1292" s="89"/>
      <c r="J1292" s="89"/>
      <c r="K1292" s="157"/>
      <c r="L1292" s="157"/>
      <c r="M1292" s="158"/>
      <c r="O1292" s="82">
        <f t="shared" si="197"/>
        <v>0</v>
      </c>
    </row>
    <row r="1293" spans="1:15" ht="16.5" customHeight="1" x14ac:dyDescent="0.2">
      <c r="A1293" s="40"/>
      <c r="B1293" s="45"/>
      <c r="C1293" s="41"/>
      <c r="D1293" s="41">
        <v>12</v>
      </c>
      <c r="E1293" s="90">
        <v>0.9</v>
      </c>
      <c r="F1293" s="90"/>
      <c r="G1293" s="90">
        <v>0.5</v>
      </c>
      <c r="H1293" s="89">
        <f t="shared" si="198"/>
        <v>5.4</v>
      </c>
      <c r="I1293" s="90"/>
      <c r="J1293" s="90"/>
      <c r="K1293" s="163"/>
      <c r="L1293" s="163"/>
      <c r="M1293" s="158"/>
      <c r="O1293" s="82">
        <f t="shared" si="197"/>
        <v>0</v>
      </c>
    </row>
    <row r="1294" spans="1:15" ht="16.5" customHeight="1" x14ac:dyDescent="0.2">
      <c r="A1294" s="40"/>
      <c r="B1294" s="45"/>
      <c r="C1294" s="41"/>
      <c r="D1294" s="41"/>
      <c r="E1294" s="90"/>
      <c r="F1294" s="90"/>
      <c r="G1294" s="90"/>
      <c r="H1294" s="89">
        <f t="shared" si="198"/>
        <v>0</v>
      </c>
      <c r="I1294" s="90">
        <f>SUM(H1293:H1293)</f>
        <v>5.4</v>
      </c>
      <c r="J1294" s="90"/>
      <c r="K1294" s="163"/>
      <c r="L1294" s="163"/>
      <c r="M1294" s="158"/>
      <c r="O1294" s="82">
        <f t="shared" si="197"/>
        <v>0</v>
      </c>
    </row>
    <row r="1295" spans="1:15" s="5" customFormat="1" ht="16.149999999999999" customHeight="1" x14ac:dyDescent="0.2">
      <c r="A1295" s="30"/>
      <c r="B1295" s="98" t="s">
        <v>467</v>
      </c>
      <c r="C1295" s="32"/>
      <c r="D1295" s="32"/>
      <c r="E1295" s="89"/>
      <c r="F1295" s="89"/>
      <c r="G1295" s="89"/>
      <c r="H1295" s="89">
        <f t="shared" si="198"/>
        <v>0</v>
      </c>
      <c r="I1295" s="90">
        <f t="shared" ref="I1295:I1296" si="199">SUM(H1294:H1294)</f>
        <v>0</v>
      </c>
      <c r="J1295" s="89"/>
      <c r="K1295" s="157"/>
      <c r="L1295" s="157"/>
      <c r="M1295" s="158"/>
      <c r="O1295" s="82">
        <f t="shared" si="197"/>
        <v>0</v>
      </c>
    </row>
    <row r="1296" spans="1:15" ht="15.95" customHeight="1" x14ac:dyDescent="0.2">
      <c r="A1296" s="40"/>
      <c r="B1296" s="45"/>
      <c r="C1296" s="41"/>
      <c r="D1296" s="41">
        <v>2</v>
      </c>
      <c r="E1296" s="90">
        <v>0.9</v>
      </c>
      <c r="F1296" s="90"/>
      <c r="G1296" s="90">
        <v>1.2</v>
      </c>
      <c r="H1296" s="89">
        <f t="shared" si="198"/>
        <v>2.16</v>
      </c>
      <c r="I1296" s="90">
        <f t="shared" si="199"/>
        <v>0</v>
      </c>
      <c r="J1296" s="90"/>
      <c r="K1296" s="163"/>
      <c r="L1296" s="163"/>
      <c r="M1296" s="158"/>
      <c r="N1296" s="43"/>
      <c r="O1296" s="82">
        <f t="shared" si="197"/>
        <v>0</v>
      </c>
    </row>
    <row r="1297" spans="1:15" ht="18" customHeight="1" x14ac:dyDescent="0.2">
      <c r="A1297" s="56"/>
      <c r="B1297" s="52"/>
      <c r="C1297" s="41"/>
      <c r="D1297" s="41"/>
      <c r="E1297" s="90"/>
      <c r="F1297" s="90"/>
      <c r="G1297" s="90"/>
      <c r="H1297" s="90"/>
      <c r="I1297" s="90">
        <f>SUM(H1296:H1297)</f>
        <v>2.16</v>
      </c>
      <c r="J1297" s="90"/>
      <c r="K1297" s="163"/>
      <c r="L1297" s="163"/>
      <c r="M1297" s="158"/>
      <c r="O1297" s="82">
        <f t="shared" si="197"/>
        <v>0</v>
      </c>
    </row>
    <row r="1298" spans="1:15" ht="18" customHeight="1" x14ac:dyDescent="0.2">
      <c r="A1298" s="56"/>
      <c r="B1298" s="52"/>
      <c r="C1298" s="41"/>
      <c r="D1298" s="41"/>
      <c r="E1298" s="90"/>
      <c r="F1298" s="90"/>
      <c r="G1298" s="90"/>
      <c r="H1298" s="90"/>
      <c r="I1298" s="90"/>
      <c r="J1298" s="90"/>
      <c r="K1298" s="163"/>
      <c r="L1298" s="163"/>
      <c r="M1298" s="158"/>
      <c r="O1298" s="82">
        <f t="shared" si="197"/>
        <v>0</v>
      </c>
    </row>
    <row r="1299" spans="1:15" ht="18" customHeight="1" x14ac:dyDescent="0.2">
      <c r="A1299" s="57" t="s">
        <v>344</v>
      </c>
      <c r="B1299" s="46" t="s">
        <v>355</v>
      </c>
      <c r="C1299" s="41" t="s">
        <v>1</v>
      </c>
      <c r="D1299" s="41">
        <v>2</v>
      </c>
      <c r="E1299" s="90">
        <v>2.5</v>
      </c>
      <c r="F1299" s="90"/>
      <c r="G1299" s="90"/>
      <c r="H1299" s="89">
        <f t="shared" si="192"/>
        <v>5</v>
      </c>
      <c r="I1299" s="90">
        <f>H1299</f>
        <v>5</v>
      </c>
      <c r="J1299" s="90">
        <v>10</v>
      </c>
      <c r="K1299" s="163">
        <v>20</v>
      </c>
      <c r="L1299" s="163">
        <v>250</v>
      </c>
      <c r="M1299" s="158">
        <f>+L1299*K1299</f>
        <v>5000</v>
      </c>
      <c r="O1299" s="82">
        <f t="shared" si="197"/>
        <v>10</v>
      </c>
    </row>
    <row r="1300" spans="1:15" ht="18" customHeight="1" x14ac:dyDescent="0.2">
      <c r="A1300" s="56"/>
      <c r="B1300" s="52"/>
      <c r="C1300" s="41"/>
      <c r="D1300" s="41"/>
      <c r="E1300" s="90"/>
      <c r="F1300" s="90"/>
      <c r="G1300" s="90"/>
      <c r="H1300" s="90"/>
      <c r="I1300" s="90"/>
      <c r="J1300" s="90"/>
      <c r="K1300" s="163"/>
      <c r="L1300" s="163"/>
      <c r="M1300" s="158"/>
      <c r="O1300" s="82">
        <f t="shared" si="197"/>
        <v>0</v>
      </c>
    </row>
    <row r="1301" spans="1:15" ht="18" customHeight="1" x14ac:dyDescent="0.2">
      <c r="A1301" s="250" t="s">
        <v>110</v>
      </c>
      <c r="B1301" s="251"/>
      <c r="C1301" s="251"/>
      <c r="D1301" s="251"/>
      <c r="E1301" s="251"/>
      <c r="F1301" s="251"/>
      <c r="G1301" s="251"/>
      <c r="H1301" s="251"/>
      <c r="I1301" s="251"/>
      <c r="J1301" s="251"/>
      <c r="K1301" s="251"/>
      <c r="L1301" s="252"/>
      <c r="M1301" s="159">
        <f>SUM(M1259:M1299)</f>
        <v>74150</v>
      </c>
      <c r="O1301" s="82">
        <f t="shared" si="197"/>
        <v>0</v>
      </c>
    </row>
    <row r="1302" spans="1:15" ht="18" customHeight="1" x14ac:dyDescent="0.2">
      <c r="A1302" s="24"/>
      <c r="B1302" s="25" t="s">
        <v>42</v>
      </c>
      <c r="C1302" s="26"/>
      <c r="D1302" s="26"/>
      <c r="E1302" s="88"/>
      <c r="F1302" s="88"/>
      <c r="G1302" s="88"/>
      <c r="H1302" s="88"/>
      <c r="I1302" s="88"/>
      <c r="J1302" s="88"/>
      <c r="K1302" s="155"/>
      <c r="L1302" s="155"/>
      <c r="M1302" s="158"/>
      <c r="O1302" s="82">
        <f t="shared" si="197"/>
        <v>0</v>
      </c>
    </row>
    <row r="1303" spans="1:15" ht="18" customHeight="1" x14ac:dyDescent="0.2">
      <c r="A1303" s="56" t="s">
        <v>213</v>
      </c>
      <c r="B1303" s="46" t="s">
        <v>275</v>
      </c>
      <c r="C1303" s="41" t="s">
        <v>1</v>
      </c>
      <c r="D1303" s="41"/>
      <c r="E1303" s="90"/>
      <c r="F1303" s="90"/>
      <c r="G1303" s="90"/>
      <c r="H1303" s="90"/>
      <c r="I1303" s="90"/>
      <c r="J1303" s="90">
        <f>SUM(I1305:I1307)</f>
        <v>84.6</v>
      </c>
      <c r="K1303" s="163">
        <v>90</v>
      </c>
      <c r="L1303" s="163">
        <v>200</v>
      </c>
      <c r="M1303" s="158">
        <f>+L1303*K1303</f>
        <v>18000</v>
      </c>
      <c r="O1303" s="82">
        <f t="shared" si="197"/>
        <v>5.4000000000000057</v>
      </c>
    </row>
    <row r="1304" spans="1:15" s="5" customFormat="1" ht="16.149999999999999" customHeight="1" x14ac:dyDescent="0.2">
      <c r="A1304" s="30"/>
      <c r="B1304" s="98" t="s">
        <v>464</v>
      </c>
      <c r="C1304" s="32"/>
      <c r="D1304" s="32"/>
      <c r="E1304" s="89"/>
      <c r="F1304" s="89"/>
      <c r="G1304" s="89"/>
      <c r="H1304" s="89"/>
      <c r="I1304" s="89"/>
      <c r="K1304" s="157"/>
      <c r="L1304" s="157"/>
      <c r="M1304" s="158"/>
      <c r="O1304" s="82">
        <f t="shared" si="197"/>
        <v>0</v>
      </c>
    </row>
    <row r="1305" spans="1:15" ht="16.5" customHeight="1" x14ac:dyDescent="0.2">
      <c r="A1305" s="40"/>
      <c r="B1305" s="45"/>
      <c r="C1305" s="41"/>
      <c r="D1305" s="41">
        <v>40</v>
      </c>
      <c r="E1305" s="90">
        <f>0.9+0.3</f>
        <v>1.2</v>
      </c>
      <c r="F1305" s="90"/>
      <c r="G1305" s="90">
        <v>1.5</v>
      </c>
      <c r="H1305" s="89">
        <f t="shared" ref="H1305:H1307" si="200">PRODUCT(D1305:G1305)</f>
        <v>72</v>
      </c>
      <c r="I1305" s="90">
        <f>SUM(H1305:H1305)</f>
        <v>72</v>
      </c>
      <c r="J1305" s="90"/>
      <c r="K1305" s="163"/>
      <c r="L1305" s="163"/>
      <c r="M1305" s="158"/>
      <c r="O1305" s="82">
        <f t="shared" si="197"/>
        <v>0</v>
      </c>
    </row>
    <row r="1306" spans="1:15" s="5" customFormat="1" ht="16.149999999999999" customHeight="1" x14ac:dyDescent="0.2">
      <c r="A1306" s="30"/>
      <c r="B1306" s="98" t="s">
        <v>465</v>
      </c>
      <c r="C1306" s="32"/>
      <c r="D1306" s="32"/>
      <c r="E1306" s="89"/>
      <c r="F1306" s="89"/>
      <c r="G1306" s="89"/>
      <c r="H1306" s="89">
        <f t="shared" si="200"/>
        <v>0</v>
      </c>
      <c r="I1306" s="89"/>
      <c r="J1306" s="89"/>
      <c r="K1306" s="157"/>
      <c r="L1306" s="157"/>
      <c r="M1306" s="158"/>
      <c r="O1306" s="82">
        <f t="shared" si="197"/>
        <v>0</v>
      </c>
    </row>
    <row r="1307" spans="1:15" ht="16.5" customHeight="1" x14ac:dyDescent="0.2">
      <c r="A1307" s="40"/>
      <c r="B1307" s="45"/>
      <c r="C1307" s="41"/>
      <c r="D1307" s="41">
        <v>7</v>
      </c>
      <c r="E1307" s="90">
        <f>0.9+0.3</f>
        <v>1.2</v>
      </c>
      <c r="F1307" s="90"/>
      <c r="G1307" s="90">
        <v>1.5</v>
      </c>
      <c r="H1307" s="89">
        <f t="shared" si="200"/>
        <v>12.600000000000001</v>
      </c>
      <c r="I1307" s="90">
        <f>SUM(H1307)</f>
        <v>12.600000000000001</v>
      </c>
      <c r="J1307" s="90"/>
      <c r="K1307" s="163"/>
      <c r="L1307" s="163"/>
      <c r="M1307" s="158"/>
      <c r="O1307" s="82">
        <f t="shared" si="197"/>
        <v>0</v>
      </c>
    </row>
    <row r="1308" spans="1:15" ht="16.5" customHeight="1" x14ac:dyDescent="0.2">
      <c r="A1308" s="40"/>
      <c r="B1308" s="45"/>
      <c r="C1308" s="41"/>
      <c r="D1308" s="41"/>
      <c r="E1308" s="90"/>
      <c r="F1308" s="90"/>
      <c r="G1308" s="90"/>
      <c r="H1308" s="90"/>
      <c r="I1308" s="80"/>
      <c r="J1308" s="90"/>
      <c r="K1308" s="163"/>
      <c r="L1308" s="163"/>
      <c r="M1308" s="158"/>
      <c r="O1308" s="82">
        <f t="shared" si="197"/>
        <v>0</v>
      </c>
    </row>
    <row r="1309" spans="1:15" ht="18" customHeight="1" x14ac:dyDescent="0.2">
      <c r="A1309" s="56" t="s">
        <v>214</v>
      </c>
      <c r="B1309" s="46" t="s">
        <v>330</v>
      </c>
      <c r="C1309" s="41" t="s">
        <v>1</v>
      </c>
      <c r="D1309" s="41"/>
      <c r="E1309" s="90"/>
      <c r="F1309" s="90"/>
      <c r="G1309" s="90"/>
      <c r="H1309" s="90"/>
      <c r="I1309" s="90"/>
      <c r="J1309" s="90">
        <f>SUM(I1311:I1313)</f>
        <v>8.1999999999999993</v>
      </c>
      <c r="K1309" s="163">
        <v>10</v>
      </c>
      <c r="L1309" s="163">
        <v>700</v>
      </c>
      <c r="M1309" s="158">
        <f>+L1309*K1309</f>
        <v>7000</v>
      </c>
      <c r="O1309" s="82">
        <f t="shared" si="197"/>
        <v>1.8000000000000007</v>
      </c>
    </row>
    <row r="1310" spans="1:15" s="5" customFormat="1" ht="16.149999999999999" customHeight="1" x14ac:dyDescent="0.2">
      <c r="A1310" s="30"/>
      <c r="B1310" s="98" t="s">
        <v>465</v>
      </c>
      <c r="C1310" s="32"/>
      <c r="D1310" s="32"/>
      <c r="E1310" s="89"/>
      <c r="F1310" s="89"/>
      <c r="G1310" s="89"/>
      <c r="H1310" s="89">
        <f t="shared" ref="H1310:H1312" si="201">PRODUCT(D1310:G1310)</f>
        <v>0</v>
      </c>
      <c r="I1310" s="89"/>
      <c r="J1310" s="89"/>
      <c r="K1310" s="157"/>
      <c r="L1310" s="157"/>
      <c r="M1310" s="158"/>
      <c r="O1310" s="82">
        <f t="shared" si="197"/>
        <v>0</v>
      </c>
    </row>
    <row r="1311" spans="1:15" ht="16.5" customHeight="1" x14ac:dyDescent="0.2">
      <c r="A1311" s="40"/>
      <c r="B1311" s="45"/>
      <c r="C1311" s="41"/>
      <c r="D1311" s="41">
        <v>1</v>
      </c>
      <c r="E1311" s="90">
        <v>5</v>
      </c>
      <c r="F1311" s="90"/>
      <c r="G1311" s="90"/>
      <c r="H1311" s="89">
        <f t="shared" si="201"/>
        <v>5</v>
      </c>
      <c r="I1311" s="90"/>
      <c r="J1311" s="90"/>
      <c r="K1311" s="163"/>
      <c r="L1311" s="163"/>
      <c r="M1311" s="158"/>
      <c r="O1311" s="82">
        <f t="shared" si="197"/>
        <v>0</v>
      </c>
    </row>
    <row r="1312" spans="1:15" ht="16.5" customHeight="1" x14ac:dyDescent="0.2">
      <c r="A1312" s="40"/>
      <c r="B1312" s="45"/>
      <c r="C1312" s="41"/>
      <c r="D1312" s="41">
        <v>2</v>
      </c>
      <c r="E1312" s="90">
        <v>1.6</v>
      </c>
      <c r="F1312" s="90"/>
      <c r="G1312" s="90"/>
      <c r="H1312" s="89">
        <f t="shared" si="201"/>
        <v>3.2</v>
      </c>
      <c r="I1312" s="90"/>
      <c r="J1312" s="90"/>
      <c r="K1312" s="163"/>
      <c r="L1312" s="163"/>
      <c r="M1312" s="158"/>
      <c r="O1312" s="82">
        <f t="shared" si="197"/>
        <v>0</v>
      </c>
    </row>
    <row r="1313" spans="1:263" ht="16.5" customHeight="1" x14ac:dyDescent="0.2">
      <c r="A1313" s="40"/>
      <c r="B1313" s="45"/>
      <c r="C1313" s="41"/>
      <c r="D1313" s="41"/>
      <c r="E1313" s="90"/>
      <c r="F1313" s="90"/>
      <c r="G1313" s="90"/>
      <c r="H1313" s="90"/>
      <c r="I1313" s="90">
        <f>SUM(H1311:H1313)</f>
        <v>8.1999999999999993</v>
      </c>
      <c r="J1313" s="90"/>
      <c r="K1313" s="163"/>
      <c r="L1313" s="163"/>
      <c r="M1313" s="158"/>
      <c r="O1313" s="82">
        <f t="shared" si="197"/>
        <v>0</v>
      </c>
    </row>
    <row r="1314" spans="1:263" ht="16.5" customHeight="1" x14ac:dyDescent="0.2">
      <c r="A1314" s="40"/>
      <c r="B1314" s="45"/>
      <c r="C1314" s="41"/>
      <c r="D1314" s="41"/>
      <c r="E1314" s="90"/>
      <c r="F1314" s="90"/>
      <c r="G1314" s="90"/>
      <c r="H1314" s="90"/>
      <c r="I1314" s="90"/>
      <c r="J1314" s="90"/>
      <c r="K1314" s="163"/>
      <c r="L1314" s="163"/>
      <c r="M1314" s="158"/>
      <c r="O1314" s="82">
        <f t="shared" si="197"/>
        <v>0</v>
      </c>
    </row>
    <row r="1315" spans="1:263" ht="18" customHeight="1" x14ac:dyDescent="0.2">
      <c r="A1315" s="56" t="s">
        <v>214</v>
      </c>
      <c r="B1315" s="46" t="s">
        <v>529</v>
      </c>
      <c r="C1315" s="41" t="s">
        <v>500</v>
      </c>
      <c r="D1315" s="41">
        <v>0</v>
      </c>
      <c r="E1315" s="90"/>
      <c r="F1315" s="90"/>
      <c r="G1315" s="90"/>
      <c r="H1315" s="89">
        <f t="shared" ref="H1315" si="202">PRODUCT(D1315:G1315)</f>
        <v>0</v>
      </c>
      <c r="I1315" s="89">
        <f>H1315</f>
        <v>0</v>
      </c>
      <c r="J1315" s="90">
        <f>I1315</f>
        <v>0</v>
      </c>
      <c r="K1315" s="163">
        <v>1</v>
      </c>
      <c r="L1315" s="163">
        <v>10000</v>
      </c>
      <c r="M1315" s="158">
        <f>+L1315*K1315</f>
        <v>10000</v>
      </c>
      <c r="O1315" s="82">
        <f t="shared" si="197"/>
        <v>1</v>
      </c>
    </row>
    <row r="1316" spans="1:263" ht="16.5" customHeight="1" x14ac:dyDescent="0.2">
      <c r="A1316" s="40"/>
      <c r="B1316" s="45"/>
      <c r="C1316" s="41"/>
      <c r="D1316" s="41"/>
      <c r="E1316" s="90"/>
      <c r="F1316" s="90"/>
      <c r="G1316" s="90"/>
      <c r="H1316" s="90"/>
      <c r="I1316" s="90">
        <f>SUM(H1316:H1316)</f>
        <v>0</v>
      </c>
      <c r="J1316" s="90"/>
      <c r="K1316" s="163"/>
      <c r="L1316" s="163"/>
      <c r="M1316" s="158"/>
      <c r="O1316" s="82">
        <f t="shared" si="197"/>
        <v>0</v>
      </c>
    </row>
    <row r="1317" spans="1:263" ht="18" customHeight="1" x14ac:dyDescent="0.2">
      <c r="A1317" s="56" t="s">
        <v>215</v>
      </c>
      <c r="B1317" s="46" t="s">
        <v>11</v>
      </c>
      <c r="C1317" s="41" t="s">
        <v>76</v>
      </c>
      <c r="D1317" s="41">
        <v>2</v>
      </c>
      <c r="E1317" s="90"/>
      <c r="F1317" s="90"/>
      <c r="G1317" s="90"/>
      <c r="H1317" s="89">
        <f t="shared" ref="H1317:H1319" si="203">PRODUCT(D1317:G1317)</f>
        <v>2</v>
      </c>
      <c r="I1317" s="89">
        <f t="shared" ref="I1317:J1319" si="204">H1317</f>
        <v>2</v>
      </c>
      <c r="J1317" s="90">
        <f t="shared" si="204"/>
        <v>2</v>
      </c>
      <c r="K1317" s="163">
        <v>2</v>
      </c>
      <c r="L1317" s="163">
        <v>1200</v>
      </c>
      <c r="M1317" s="158">
        <f>+L1317*K1317</f>
        <v>2400</v>
      </c>
      <c r="O1317" s="82">
        <f t="shared" si="197"/>
        <v>0</v>
      </c>
    </row>
    <row r="1318" spans="1:263" ht="18" customHeight="1" x14ac:dyDescent="0.2">
      <c r="A1318" s="56" t="s">
        <v>216</v>
      </c>
      <c r="B1318" s="46" t="s">
        <v>445</v>
      </c>
      <c r="C1318" s="41" t="s">
        <v>76</v>
      </c>
      <c r="D1318" s="41">
        <v>2</v>
      </c>
      <c r="E1318" s="90"/>
      <c r="F1318" s="90"/>
      <c r="G1318" s="90"/>
      <c r="H1318" s="89">
        <f t="shared" si="203"/>
        <v>2</v>
      </c>
      <c r="I1318" s="89">
        <f t="shared" si="204"/>
        <v>2</v>
      </c>
      <c r="J1318" s="90">
        <f t="shared" si="204"/>
        <v>2</v>
      </c>
      <c r="K1318" s="163">
        <v>2</v>
      </c>
      <c r="L1318" s="163">
        <v>3000</v>
      </c>
      <c r="M1318" s="158">
        <f>+L1318*K1318</f>
        <v>6000</v>
      </c>
      <c r="O1318" s="82">
        <f t="shared" si="197"/>
        <v>0</v>
      </c>
    </row>
    <row r="1319" spans="1:263" ht="18" customHeight="1" x14ac:dyDescent="0.2">
      <c r="A1319" s="56" t="s">
        <v>217</v>
      </c>
      <c r="B1319" s="46" t="s">
        <v>520</v>
      </c>
      <c r="C1319" s="41" t="s">
        <v>500</v>
      </c>
      <c r="D1319" s="41">
        <v>2</v>
      </c>
      <c r="E1319" s="90"/>
      <c r="F1319" s="90"/>
      <c r="G1319" s="90"/>
      <c r="H1319" s="89">
        <f t="shared" si="203"/>
        <v>2</v>
      </c>
      <c r="I1319" s="89">
        <f t="shared" si="204"/>
        <v>2</v>
      </c>
      <c r="J1319" s="90">
        <f t="shared" si="204"/>
        <v>2</v>
      </c>
      <c r="K1319" s="163">
        <v>2</v>
      </c>
      <c r="L1319" s="163">
        <v>1500</v>
      </c>
      <c r="M1319" s="158">
        <f>+L1319*K1319</f>
        <v>3000</v>
      </c>
      <c r="O1319" s="82">
        <f t="shared" si="197"/>
        <v>0</v>
      </c>
    </row>
    <row r="1320" spans="1:263" ht="18" customHeight="1" x14ac:dyDescent="0.2">
      <c r="A1320" s="250" t="s">
        <v>104</v>
      </c>
      <c r="B1320" s="251"/>
      <c r="C1320" s="251"/>
      <c r="D1320" s="251"/>
      <c r="E1320" s="251"/>
      <c r="F1320" s="251"/>
      <c r="G1320" s="251"/>
      <c r="H1320" s="251"/>
      <c r="I1320" s="251"/>
      <c r="J1320" s="251"/>
      <c r="K1320" s="251"/>
      <c r="L1320" s="252"/>
      <c r="M1320" s="159">
        <f>SUM(M1302:M1319)</f>
        <v>46400</v>
      </c>
      <c r="N1320" s="10"/>
      <c r="O1320" s="82">
        <f t="shared" si="197"/>
        <v>0</v>
      </c>
    </row>
    <row r="1321" spans="1:263" ht="18" customHeight="1" x14ac:dyDescent="0.2">
      <c r="A1321" s="250" t="s">
        <v>111</v>
      </c>
      <c r="B1321" s="251"/>
      <c r="C1321" s="251"/>
      <c r="D1321" s="251"/>
      <c r="E1321" s="251"/>
      <c r="F1321" s="251"/>
      <c r="G1321" s="251"/>
      <c r="H1321" s="251"/>
      <c r="I1321" s="251"/>
      <c r="J1321" s="251"/>
      <c r="K1321" s="251"/>
      <c r="L1321" s="252"/>
      <c r="M1321" s="159">
        <f>M1320+M1301+M1258+M1230</f>
        <v>274750</v>
      </c>
      <c r="O1321" s="82">
        <f t="shared" si="197"/>
        <v>0</v>
      </c>
    </row>
    <row r="1322" spans="1:263" ht="18" customHeight="1" x14ac:dyDescent="0.2">
      <c r="A1322" s="24"/>
      <c r="B1322" s="25" t="s">
        <v>218</v>
      </c>
      <c r="C1322" s="26"/>
      <c r="D1322" s="26"/>
      <c r="E1322" s="88"/>
      <c r="F1322" s="88"/>
      <c r="G1322" s="88"/>
      <c r="H1322" s="88"/>
      <c r="I1322" s="88"/>
      <c r="J1322" s="88"/>
      <c r="K1322" s="155"/>
      <c r="L1322" s="155"/>
      <c r="M1322" s="158"/>
      <c r="O1322" s="82">
        <f t="shared" si="197"/>
        <v>0</v>
      </c>
    </row>
    <row r="1323" spans="1:263" ht="18" customHeight="1" x14ac:dyDescent="0.2">
      <c r="A1323" s="30"/>
      <c r="B1323" s="31" t="s">
        <v>219</v>
      </c>
      <c r="C1323" s="32"/>
      <c r="D1323" s="32"/>
      <c r="E1323" s="89"/>
      <c r="F1323" s="89"/>
      <c r="G1323" s="89"/>
      <c r="H1323" s="89"/>
      <c r="I1323" s="89"/>
      <c r="J1323" s="89"/>
      <c r="K1323" s="157"/>
      <c r="L1323" s="157"/>
      <c r="M1323" s="158"/>
      <c r="O1323" s="82">
        <f t="shared" si="197"/>
        <v>0</v>
      </c>
    </row>
    <row r="1324" spans="1:263" s="114" customFormat="1" ht="18" customHeight="1" x14ac:dyDescent="0.2">
      <c r="A1324" s="121" t="s">
        <v>220</v>
      </c>
      <c r="B1324" s="122" t="s">
        <v>299</v>
      </c>
      <c r="C1324" s="101" t="s">
        <v>76</v>
      </c>
      <c r="D1324" s="123">
        <v>1</v>
      </c>
      <c r="E1324" s="124"/>
      <c r="F1324" s="124"/>
      <c r="G1324" s="124"/>
      <c r="H1324" s="102">
        <f t="shared" ref="H1324:H1328" si="205">PRODUCT(D1324:G1324)</f>
        <v>1</v>
      </c>
      <c r="I1324" s="102">
        <f t="shared" ref="I1324:J1328" si="206">H1324</f>
        <v>1</v>
      </c>
      <c r="J1324" s="124">
        <f t="shared" si="206"/>
        <v>1</v>
      </c>
      <c r="K1324" s="157">
        <v>1</v>
      </c>
      <c r="L1324" s="157">
        <v>30000</v>
      </c>
      <c r="M1324" s="158">
        <f t="shared" ref="M1324:M1463" si="207">+L1324*K1324</f>
        <v>30000</v>
      </c>
      <c r="N1324" s="113"/>
      <c r="O1324" s="82">
        <f t="shared" si="197"/>
        <v>0</v>
      </c>
      <c r="P1324" s="104"/>
      <c r="Q1324" s="104"/>
      <c r="R1324" s="104"/>
      <c r="S1324" s="104"/>
      <c r="T1324" s="104"/>
      <c r="U1324" s="104"/>
      <c r="V1324" s="104"/>
      <c r="W1324" s="104"/>
      <c r="X1324" s="104"/>
      <c r="Y1324" s="104"/>
      <c r="Z1324" s="104"/>
      <c r="AA1324" s="104"/>
      <c r="AB1324" s="104"/>
      <c r="AC1324" s="104"/>
      <c r="AD1324" s="104"/>
      <c r="AE1324" s="104"/>
      <c r="AF1324" s="104"/>
      <c r="AG1324" s="104"/>
      <c r="AH1324" s="104"/>
      <c r="AI1324" s="104"/>
      <c r="AJ1324" s="104"/>
      <c r="AK1324" s="104"/>
      <c r="AL1324" s="104"/>
      <c r="AM1324" s="104"/>
      <c r="AN1324" s="104"/>
      <c r="AO1324" s="104"/>
      <c r="AP1324" s="104"/>
      <c r="AQ1324" s="104"/>
      <c r="AR1324" s="104"/>
      <c r="AS1324" s="104"/>
      <c r="AT1324" s="104"/>
      <c r="AU1324" s="104"/>
      <c r="AV1324" s="104"/>
      <c r="AW1324" s="104"/>
      <c r="AX1324" s="104"/>
      <c r="AY1324" s="104"/>
      <c r="AZ1324" s="104"/>
      <c r="BA1324" s="104"/>
      <c r="BB1324" s="104"/>
      <c r="BC1324" s="104"/>
      <c r="BD1324" s="104"/>
      <c r="BE1324" s="104"/>
      <c r="BF1324" s="104"/>
      <c r="BG1324" s="104"/>
      <c r="BH1324" s="104"/>
      <c r="BI1324" s="104"/>
      <c r="BJ1324" s="104"/>
      <c r="BK1324" s="104"/>
      <c r="BL1324" s="104"/>
      <c r="BM1324" s="104"/>
      <c r="BN1324" s="104"/>
      <c r="BO1324" s="104"/>
      <c r="BP1324" s="104"/>
      <c r="BQ1324" s="104"/>
      <c r="BR1324" s="104"/>
      <c r="BS1324" s="104"/>
      <c r="BT1324" s="104"/>
      <c r="BU1324" s="104"/>
      <c r="BV1324" s="104"/>
      <c r="BW1324" s="104"/>
      <c r="BX1324" s="104"/>
      <c r="BY1324" s="104"/>
      <c r="BZ1324" s="104"/>
      <c r="CA1324" s="104"/>
      <c r="CB1324" s="104"/>
      <c r="CC1324" s="104"/>
      <c r="CD1324" s="104"/>
      <c r="CE1324" s="104"/>
      <c r="CF1324" s="104"/>
      <c r="CG1324" s="104"/>
      <c r="CH1324" s="104"/>
      <c r="CI1324" s="104"/>
      <c r="CJ1324" s="104"/>
      <c r="CK1324" s="104"/>
      <c r="CL1324" s="104"/>
      <c r="CM1324" s="104"/>
      <c r="CN1324" s="104"/>
      <c r="CO1324" s="104"/>
      <c r="CP1324" s="104"/>
      <c r="CQ1324" s="104"/>
      <c r="CR1324" s="104"/>
      <c r="CS1324" s="104"/>
      <c r="CT1324" s="104"/>
      <c r="CU1324" s="104"/>
      <c r="CV1324" s="104"/>
      <c r="CW1324" s="104"/>
      <c r="CX1324" s="104"/>
      <c r="CY1324" s="104"/>
      <c r="CZ1324" s="104"/>
      <c r="DA1324" s="104"/>
      <c r="DB1324" s="104"/>
      <c r="DC1324" s="104"/>
      <c r="DD1324" s="104"/>
      <c r="DE1324" s="104"/>
      <c r="DF1324" s="104"/>
      <c r="DG1324" s="104"/>
      <c r="DH1324" s="104"/>
      <c r="DI1324" s="104"/>
      <c r="DJ1324" s="104"/>
      <c r="DK1324" s="104"/>
      <c r="DL1324" s="104"/>
      <c r="DM1324" s="104"/>
      <c r="DN1324" s="104"/>
      <c r="DO1324" s="104"/>
      <c r="DP1324" s="104"/>
      <c r="DQ1324" s="104"/>
      <c r="DR1324" s="104"/>
      <c r="DS1324" s="104"/>
      <c r="DT1324" s="104"/>
      <c r="DU1324" s="104"/>
      <c r="DV1324" s="104"/>
      <c r="DW1324" s="104"/>
      <c r="DX1324" s="104"/>
      <c r="DY1324" s="104"/>
      <c r="DZ1324" s="104"/>
      <c r="EA1324" s="104"/>
      <c r="EB1324" s="104"/>
      <c r="EC1324" s="104"/>
      <c r="ED1324" s="104"/>
      <c r="EE1324" s="104"/>
      <c r="EF1324" s="104"/>
      <c r="EG1324" s="104"/>
      <c r="EH1324" s="104"/>
      <c r="EI1324" s="104"/>
      <c r="EJ1324" s="104"/>
      <c r="EK1324" s="104"/>
      <c r="EL1324" s="104"/>
      <c r="EM1324" s="104"/>
      <c r="EN1324" s="104"/>
      <c r="EO1324" s="104"/>
      <c r="EP1324" s="104"/>
      <c r="EQ1324" s="104"/>
      <c r="ER1324" s="104"/>
      <c r="ES1324" s="104"/>
      <c r="ET1324" s="104"/>
      <c r="EU1324" s="104"/>
      <c r="EV1324" s="104"/>
      <c r="EW1324" s="104"/>
      <c r="EX1324" s="104"/>
      <c r="EY1324" s="104"/>
      <c r="EZ1324" s="104"/>
      <c r="FA1324" s="104"/>
      <c r="FB1324" s="104"/>
      <c r="FC1324" s="104"/>
      <c r="FD1324" s="104"/>
      <c r="FE1324" s="104"/>
      <c r="FF1324" s="104"/>
      <c r="FG1324" s="104"/>
      <c r="FH1324" s="104"/>
      <c r="FI1324" s="104"/>
      <c r="FJ1324" s="104"/>
      <c r="FK1324" s="104"/>
      <c r="FL1324" s="104"/>
      <c r="FM1324" s="104"/>
      <c r="FN1324" s="104"/>
      <c r="FO1324" s="104"/>
      <c r="FP1324" s="104"/>
      <c r="FQ1324" s="104"/>
      <c r="FR1324" s="104"/>
      <c r="FS1324" s="104"/>
      <c r="FT1324" s="104"/>
      <c r="FU1324" s="104"/>
      <c r="FV1324" s="104"/>
      <c r="FW1324" s="104"/>
      <c r="FX1324" s="104"/>
      <c r="FY1324" s="104"/>
      <c r="FZ1324" s="104"/>
      <c r="GA1324" s="104"/>
      <c r="GB1324" s="104"/>
      <c r="GC1324" s="104"/>
      <c r="GD1324" s="104"/>
      <c r="GE1324" s="104"/>
      <c r="GF1324" s="104"/>
      <c r="GG1324" s="104"/>
      <c r="GH1324" s="104"/>
      <c r="GI1324" s="104"/>
      <c r="GJ1324" s="104"/>
      <c r="GK1324" s="104"/>
      <c r="GL1324" s="104"/>
      <c r="GM1324" s="104"/>
      <c r="GN1324" s="104"/>
      <c r="GO1324" s="104"/>
      <c r="GP1324" s="104"/>
      <c r="GQ1324" s="104"/>
      <c r="GR1324" s="104"/>
      <c r="GS1324" s="104"/>
      <c r="GT1324" s="104"/>
      <c r="GU1324" s="104"/>
      <c r="GV1324" s="104"/>
      <c r="GW1324" s="104"/>
      <c r="GX1324" s="104"/>
      <c r="GY1324" s="104"/>
      <c r="GZ1324" s="104"/>
      <c r="HA1324" s="104"/>
      <c r="HB1324" s="104"/>
      <c r="HC1324" s="104"/>
      <c r="HD1324" s="104"/>
      <c r="HE1324" s="104"/>
      <c r="HF1324" s="104"/>
      <c r="HG1324" s="104"/>
      <c r="HH1324" s="104"/>
      <c r="HI1324" s="104"/>
      <c r="HJ1324" s="104"/>
      <c r="HK1324" s="104"/>
      <c r="HL1324" s="104"/>
      <c r="HM1324" s="104"/>
      <c r="HN1324" s="104"/>
      <c r="HO1324" s="104"/>
      <c r="HP1324" s="104"/>
      <c r="HQ1324" s="104"/>
      <c r="HR1324" s="104"/>
      <c r="HS1324" s="104"/>
      <c r="HT1324" s="104"/>
      <c r="HU1324" s="104"/>
      <c r="HV1324" s="104"/>
      <c r="HW1324" s="104"/>
      <c r="HX1324" s="104"/>
      <c r="HY1324" s="104"/>
      <c r="HZ1324" s="104"/>
      <c r="IA1324" s="104"/>
      <c r="IB1324" s="104"/>
      <c r="IC1324" s="104"/>
      <c r="ID1324" s="104"/>
      <c r="IE1324" s="104"/>
      <c r="IF1324" s="104"/>
      <c r="IG1324" s="104"/>
      <c r="IH1324" s="104"/>
      <c r="II1324" s="104"/>
      <c r="IJ1324" s="104"/>
      <c r="IK1324" s="104"/>
      <c r="IL1324" s="104"/>
      <c r="IM1324" s="104"/>
      <c r="IN1324" s="104"/>
      <c r="IO1324" s="104"/>
      <c r="IP1324" s="104"/>
      <c r="IQ1324" s="104"/>
      <c r="IR1324" s="104"/>
      <c r="IS1324" s="104"/>
      <c r="IT1324" s="104"/>
      <c r="IU1324" s="104"/>
      <c r="IV1324" s="104"/>
      <c r="IW1324" s="104"/>
      <c r="IX1324" s="104"/>
      <c r="IY1324" s="104"/>
      <c r="IZ1324" s="104"/>
      <c r="JA1324" s="104"/>
      <c r="JB1324" s="104"/>
      <c r="JC1324" s="104"/>
    </row>
    <row r="1325" spans="1:263" ht="18" customHeight="1" x14ac:dyDescent="0.2">
      <c r="A1325" s="56" t="s">
        <v>221</v>
      </c>
      <c r="B1325" s="39" t="s">
        <v>276</v>
      </c>
      <c r="C1325" s="32" t="s">
        <v>76</v>
      </c>
      <c r="D1325" s="41">
        <v>1</v>
      </c>
      <c r="E1325" s="90"/>
      <c r="F1325" s="90"/>
      <c r="G1325" s="90"/>
      <c r="H1325" s="89">
        <f t="shared" si="205"/>
        <v>1</v>
      </c>
      <c r="I1325" s="89">
        <f t="shared" si="206"/>
        <v>1</v>
      </c>
      <c r="J1325" s="90">
        <f t="shared" si="206"/>
        <v>1</v>
      </c>
      <c r="K1325" s="157">
        <v>3</v>
      </c>
      <c r="L1325" s="157">
        <v>1000</v>
      </c>
      <c r="M1325" s="158">
        <f t="shared" si="207"/>
        <v>3000</v>
      </c>
      <c r="N1325" s="34"/>
      <c r="O1325" s="82">
        <f t="shared" si="197"/>
        <v>2</v>
      </c>
    </row>
    <row r="1326" spans="1:263" ht="18" customHeight="1" x14ac:dyDescent="0.2">
      <c r="A1326" s="56" t="s">
        <v>222</v>
      </c>
      <c r="B1326" s="39" t="s">
        <v>315</v>
      </c>
      <c r="C1326" s="32" t="s">
        <v>76</v>
      </c>
      <c r="D1326" s="41">
        <v>1</v>
      </c>
      <c r="E1326" s="90"/>
      <c r="F1326" s="90"/>
      <c r="G1326" s="90"/>
      <c r="H1326" s="89">
        <f t="shared" si="205"/>
        <v>1</v>
      </c>
      <c r="I1326" s="89">
        <f t="shared" si="206"/>
        <v>1</v>
      </c>
      <c r="J1326" s="90">
        <f t="shared" si="206"/>
        <v>1</v>
      </c>
      <c r="K1326" s="157">
        <v>1</v>
      </c>
      <c r="L1326" s="157">
        <v>10000</v>
      </c>
      <c r="M1326" s="158">
        <f t="shared" si="207"/>
        <v>10000</v>
      </c>
      <c r="N1326" s="34"/>
      <c r="O1326" s="82">
        <f t="shared" si="197"/>
        <v>0</v>
      </c>
    </row>
    <row r="1327" spans="1:263" ht="18" customHeight="1" x14ac:dyDescent="0.2">
      <c r="A1327" s="56" t="s">
        <v>223</v>
      </c>
      <c r="B1327" s="39" t="s">
        <v>277</v>
      </c>
      <c r="C1327" s="32" t="s">
        <v>76</v>
      </c>
      <c r="D1327" s="41">
        <v>1</v>
      </c>
      <c r="E1327" s="90"/>
      <c r="F1327" s="90"/>
      <c r="G1327" s="90"/>
      <c r="H1327" s="89">
        <f t="shared" si="205"/>
        <v>1</v>
      </c>
      <c r="I1327" s="89">
        <f t="shared" si="206"/>
        <v>1</v>
      </c>
      <c r="J1327" s="90">
        <f t="shared" si="206"/>
        <v>1</v>
      </c>
      <c r="K1327" s="157">
        <v>7</v>
      </c>
      <c r="L1327" s="157">
        <v>350</v>
      </c>
      <c r="M1327" s="158">
        <f t="shared" si="207"/>
        <v>2450</v>
      </c>
      <c r="N1327" s="34"/>
      <c r="O1327" s="82">
        <f t="shared" si="197"/>
        <v>6</v>
      </c>
    </row>
    <row r="1328" spans="1:263" ht="18" customHeight="1" x14ac:dyDescent="0.2">
      <c r="A1328" s="56" t="s">
        <v>224</v>
      </c>
      <c r="B1328" s="48" t="s">
        <v>123</v>
      </c>
      <c r="C1328" s="32" t="s">
        <v>76</v>
      </c>
      <c r="D1328" s="41">
        <f>11+1+1+1+1</f>
        <v>15</v>
      </c>
      <c r="E1328" s="90"/>
      <c r="F1328" s="90"/>
      <c r="G1328" s="90"/>
      <c r="H1328" s="89">
        <f t="shared" si="205"/>
        <v>15</v>
      </c>
      <c r="I1328" s="89">
        <f t="shared" si="206"/>
        <v>15</v>
      </c>
      <c r="J1328" s="90">
        <f t="shared" si="206"/>
        <v>15</v>
      </c>
      <c r="K1328" s="157">
        <v>15</v>
      </c>
      <c r="L1328" s="157">
        <v>1200</v>
      </c>
      <c r="M1328" s="158">
        <f t="shared" si="207"/>
        <v>18000</v>
      </c>
      <c r="N1328" s="34"/>
      <c r="O1328" s="82">
        <f t="shared" si="197"/>
        <v>0</v>
      </c>
    </row>
    <row r="1329" spans="1:15" ht="18" customHeight="1" x14ac:dyDescent="0.2">
      <c r="A1329" s="56" t="s">
        <v>225</v>
      </c>
      <c r="B1329" s="48" t="s">
        <v>293</v>
      </c>
      <c r="C1329" s="32"/>
      <c r="D1329" s="32"/>
      <c r="E1329" s="89"/>
      <c r="F1329" s="89"/>
      <c r="G1329" s="89"/>
      <c r="H1329" s="89"/>
      <c r="I1329" s="89"/>
      <c r="J1329" s="89"/>
      <c r="K1329" s="157"/>
      <c r="L1329" s="157"/>
      <c r="M1329" s="158"/>
      <c r="N1329" s="34"/>
      <c r="O1329" s="82">
        <f t="shared" si="197"/>
        <v>0</v>
      </c>
    </row>
    <row r="1330" spans="1:15" ht="18" customHeight="1" x14ac:dyDescent="0.2">
      <c r="A1330" s="30" t="s">
        <v>226</v>
      </c>
      <c r="B1330" s="39" t="s">
        <v>136</v>
      </c>
      <c r="C1330" s="32" t="s">
        <v>1</v>
      </c>
      <c r="D1330" s="41">
        <v>1</v>
      </c>
      <c r="E1330" s="90">
        <v>120</v>
      </c>
      <c r="F1330" s="90"/>
      <c r="G1330" s="90"/>
      <c r="H1330" s="89">
        <f t="shared" ref="H1330:H1360" si="208">PRODUCT(D1330:G1330)</f>
        <v>120</v>
      </c>
      <c r="I1330" s="89">
        <f t="shared" ref="I1330:J1330" si="209">H1330</f>
        <v>120</v>
      </c>
      <c r="J1330" s="90">
        <f t="shared" si="209"/>
        <v>120</v>
      </c>
      <c r="K1330" s="157">
        <v>130</v>
      </c>
      <c r="L1330" s="157">
        <v>150</v>
      </c>
      <c r="M1330" s="158">
        <f t="shared" si="207"/>
        <v>19500</v>
      </c>
      <c r="N1330" s="34"/>
      <c r="O1330" s="82">
        <f t="shared" si="197"/>
        <v>10</v>
      </c>
    </row>
    <row r="1331" spans="1:15" ht="18" customHeight="1" x14ac:dyDescent="0.2">
      <c r="A1331" s="30" t="s">
        <v>228</v>
      </c>
      <c r="B1331" s="39" t="s">
        <v>137</v>
      </c>
      <c r="C1331" s="32" t="s">
        <v>1</v>
      </c>
      <c r="D1331" s="41"/>
      <c r="E1331" s="90"/>
      <c r="F1331" s="90"/>
      <c r="G1331" s="90"/>
      <c r="H1331" s="89">
        <f t="shared" si="208"/>
        <v>0</v>
      </c>
      <c r="I1331" s="89"/>
      <c r="J1331" s="90">
        <f>SUM(I1332:I1336)</f>
        <v>196</v>
      </c>
      <c r="K1331" s="157">
        <v>210</v>
      </c>
      <c r="L1331" s="157">
        <v>100</v>
      </c>
      <c r="M1331" s="158">
        <f t="shared" si="207"/>
        <v>21000</v>
      </c>
      <c r="N1331" s="34"/>
      <c r="O1331" s="82">
        <f t="shared" si="197"/>
        <v>14</v>
      </c>
    </row>
    <row r="1332" spans="1:15" s="5" customFormat="1" ht="16.149999999999999" customHeight="1" x14ac:dyDescent="0.2">
      <c r="A1332" s="30"/>
      <c r="B1332" s="98" t="s">
        <v>464</v>
      </c>
      <c r="C1332" s="32"/>
      <c r="D1332" s="32">
        <v>1</v>
      </c>
      <c r="E1332" s="90">
        <v>40</v>
      </c>
      <c r="F1332" s="89"/>
      <c r="G1332" s="89"/>
      <c r="H1332" s="89">
        <f t="shared" si="208"/>
        <v>40</v>
      </c>
      <c r="I1332" s="89">
        <f>H1332</f>
        <v>40</v>
      </c>
      <c r="K1332" s="157"/>
      <c r="L1332" s="157"/>
      <c r="M1332" s="158"/>
      <c r="O1332" s="82">
        <f t="shared" si="197"/>
        <v>0</v>
      </c>
    </row>
    <row r="1333" spans="1:15" s="5" customFormat="1" ht="16.149999999999999" customHeight="1" x14ac:dyDescent="0.2">
      <c r="A1333" s="30"/>
      <c r="B1333" s="98" t="s">
        <v>465</v>
      </c>
      <c r="C1333" s="32"/>
      <c r="D1333" s="32">
        <v>1</v>
      </c>
      <c r="E1333" s="90">
        <v>35</v>
      </c>
      <c r="F1333" s="89"/>
      <c r="G1333" s="89"/>
      <c r="H1333" s="89">
        <f t="shared" si="208"/>
        <v>35</v>
      </c>
      <c r="I1333" s="89">
        <f t="shared" ref="I1333:I1336" si="210">H1333</f>
        <v>35</v>
      </c>
      <c r="J1333" s="89"/>
      <c r="K1333" s="157"/>
      <c r="L1333" s="157"/>
      <c r="M1333" s="158"/>
      <c r="O1333" s="82">
        <f t="shared" si="197"/>
        <v>0</v>
      </c>
    </row>
    <row r="1334" spans="1:15" s="5" customFormat="1" ht="16.149999999999999" customHeight="1" x14ac:dyDescent="0.2">
      <c r="A1334" s="30"/>
      <c r="B1334" s="98" t="s">
        <v>530</v>
      </c>
      <c r="C1334" s="32"/>
      <c r="D1334" s="32">
        <v>1</v>
      </c>
      <c r="E1334" s="89">
        <v>70</v>
      </c>
      <c r="F1334" s="89"/>
      <c r="G1334" s="89"/>
      <c r="H1334" s="89">
        <f t="shared" si="208"/>
        <v>70</v>
      </c>
      <c r="I1334" s="89">
        <f t="shared" si="210"/>
        <v>70</v>
      </c>
      <c r="J1334" s="89"/>
      <c r="K1334" s="157"/>
      <c r="L1334" s="157"/>
      <c r="M1334" s="158"/>
      <c r="O1334" s="82">
        <f t="shared" si="197"/>
        <v>0</v>
      </c>
    </row>
    <row r="1335" spans="1:15" s="5" customFormat="1" ht="16.149999999999999" customHeight="1" x14ac:dyDescent="0.2">
      <c r="A1335" s="30"/>
      <c r="B1335" s="98" t="s">
        <v>466</v>
      </c>
      <c r="C1335" s="32"/>
      <c r="D1335" s="32">
        <v>1</v>
      </c>
      <c r="E1335" s="90">
        <f t="shared" ref="E1335" si="211">35+10</f>
        <v>45</v>
      </c>
      <c r="F1335" s="89"/>
      <c r="G1335" s="89"/>
      <c r="H1335" s="89">
        <f t="shared" si="208"/>
        <v>45</v>
      </c>
      <c r="I1335" s="89">
        <f t="shared" si="210"/>
        <v>45</v>
      </c>
      <c r="J1335" s="89"/>
      <c r="K1335" s="157"/>
      <c r="L1335" s="157"/>
      <c r="M1335" s="158"/>
      <c r="O1335" s="82">
        <f t="shared" si="197"/>
        <v>0</v>
      </c>
    </row>
    <row r="1336" spans="1:15" s="5" customFormat="1" ht="16.149999999999999" customHeight="1" x14ac:dyDescent="0.2">
      <c r="A1336" s="30"/>
      <c r="B1336" s="98" t="s">
        <v>467</v>
      </c>
      <c r="C1336" s="32"/>
      <c r="D1336" s="32">
        <v>1</v>
      </c>
      <c r="E1336" s="90">
        <v>6</v>
      </c>
      <c r="F1336" s="89"/>
      <c r="G1336" s="89"/>
      <c r="H1336" s="89">
        <f t="shared" si="208"/>
        <v>6</v>
      </c>
      <c r="I1336" s="89">
        <f t="shared" si="210"/>
        <v>6</v>
      </c>
      <c r="J1336" s="89"/>
      <c r="K1336" s="157"/>
      <c r="L1336" s="157"/>
      <c r="M1336" s="158"/>
      <c r="O1336" s="82">
        <f t="shared" si="197"/>
        <v>0</v>
      </c>
    </row>
    <row r="1337" spans="1:15" s="5" customFormat="1" ht="16.149999999999999" customHeight="1" x14ac:dyDescent="0.2">
      <c r="A1337" s="30"/>
      <c r="B1337" s="98"/>
      <c r="C1337" s="32"/>
      <c r="D1337" s="41"/>
      <c r="E1337" s="90"/>
      <c r="F1337" s="90"/>
      <c r="G1337" s="90"/>
      <c r="H1337" s="89"/>
      <c r="I1337" s="89"/>
      <c r="J1337" s="90"/>
      <c r="K1337" s="157"/>
      <c r="L1337" s="157"/>
      <c r="M1337" s="158"/>
      <c r="O1337" s="82">
        <f t="shared" si="197"/>
        <v>0</v>
      </c>
    </row>
    <row r="1338" spans="1:15" s="3" customFormat="1" ht="18" customHeight="1" x14ac:dyDescent="0.2">
      <c r="A1338" s="30" t="s">
        <v>227</v>
      </c>
      <c r="B1338" s="39" t="s">
        <v>138</v>
      </c>
      <c r="C1338" s="32" t="s">
        <v>1</v>
      </c>
      <c r="D1338" s="41"/>
      <c r="E1338" s="90"/>
      <c r="F1338" s="90"/>
      <c r="G1338" s="90"/>
      <c r="H1338" s="89">
        <f t="shared" si="208"/>
        <v>0</v>
      </c>
      <c r="I1338" s="89"/>
      <c r="J1338" s="90">
        <f>SUM(I1339)</f>
        <v>40</v>
      </c>
      <c r="K1338" s="157">
        <v>40</v>
      </c>
      <c r="L1338" s="157">
        <v>80</v>
      </c>
      <c r="M1338" s="158">
        <f t="shared" si="207"/>
        <v>3200</v>
      </c>
      <c r="N1338" s="34"/>
      <c r="O1338" s="82">
        <f t="shared" si="197"/>
        <v>0</v>
      </c>
    </row>
    <row r="1339" spans="1:15" s="5" customFormat="1" ht="16.149999999999999" customHeight="1" x14ac:dyDescent="0.2">
      <c r="A1339" s="30"/>
      <c r="B1339" s="98" t="s">
        <v>464</v>
      </c>
      <c r="C1339" s="32"/>
      <c r="D1339" s="32">
        <v>1</v>
      </c>
      <c r="E1339" s="90">
        <v>40</v>
      </c>
      <c r="F1339" s="89"/>
      <c r="G1339" s="89"/>
      <c r="H1339" s="89">
        <f t="shared" si="208"/>
        <v>40</v>
      </c>
      <c r="I1339" s="89">
        <f>H1339</f>
        <v>40</v>
      </c>
      <c r="K1339" s="157"/>
      <c r="L1339" s="157"/>
      <c r="M1339" s="158"/>
      <c r="O1339" s="82">
        <f t="shared" si="197"/>
        <v>0</v>
      </c>
    </row>
    <row r="1340" spans="1:15" s="3" customFormat="1" ht="18" customHeight="1" x14ac:dyDescent="0.2">
      <c r="A1340" s="30"/>
      <c r="B1340" s="39"/>
      <c r="C1340" s="32"/>
      <c r="D1340" s="41"/>
      <c r="E1340" s="90"/>
      <c r="F1340" s="90"/>
      <c r="G1340" s="90"/>
      <c r="H1340" s="89"/>
      <c r="I1340" s="89"/>
      <c r="J1340" s="90"/>
      <c r="K1340" s="157"/>
      <c r="L1340" s="157"/>
      <c r="M1340" s="158"/>
      <c r="N1340" s="34"/>
      <c r="O1340" s="82">
        <f t="shared" si="197"/>
        <v>0</v>
      </c>
    </row>
    <row r="1341" spans="1:15" s="3" customFormat="1" ht="18" customHeight="1" x14ac:dyDescent="0.2">
      <c r="A1341" s="30" t="s">
        <v>229</v>
      </c>
      <c r="B1341" s="39" t="s">
        <v>139</v>
      </c>
      <c r="C1341" s="32" t="s">
        <v>1</v>
      </c>
      <c r="D1341" s="41">
        <v>1</v>
      </c>
      <c r="E1341" s="90">
        <v>160</v>
      </c>
      <c r="F1341" s="90"/>
      <c r="G1341" s="90"/>
      <c r="H1341" s="89">
        <f t="shared" si="208"/>
        <v>160</v>
      </c>
      <c r="I1341" s="89">
        <f t="shared" ref="I1341" si="212">H1341</f>
        <v>160</v>
      </c>
      <c r="J1341" s="90">
        <f>I1341</f>
        <v>160</v>
      </c>
      <c r="K1341" s="157">
        <v>160</v>
      </c>
      <c r="L1341" s="157">
        <v>60</v>
      </c>
      <c r="M1341" s="158">
        <f t="shared" si="207"/>
        <v>9600</v>
      </c>
      <c r="N1341" s="34"/>
      <c r="O1341" s="82">
        <f t="shared" si="197"/>
        <v>0</v>
      </c>
    </row>
    <row r="1342" spans="1:15" s="3" customFormat="1" ht="18" customHeight="1" x14ac:dyDescent="0.2">
      <c r="A1342" s="30"/>
      <c r="B1342" s="39"/>
      <c r="C1342" s="32"/>
      <c r="D1342" s="41"/>
      <c r="E1342" s="90"/>
      <c r="F1342" s="90"/>
      <c r="G1342" s="90"/>
      <c r="H1342" s="89"/>
      <c r="I1342" s="89"/>
      <c r="J1342" s="90"/>
      <c r="K1342" s="157"/>
      <c r="L1342" s="157"/>
      <c r="M1342" s="158"/>
      <c r="N1342" s="34"/>
      <c r="O1342" s="82">
        <f t="shared" si="197"/>
        <v>0</v>
      </c>
    </row>
    <row r="1343" spans="1:15" ht="18" customHeight="1" x14ac:dyDescent="0.2">
      <c r="A1343" s="56" t="s">
        <v>230</v>
      </c>
      <c r="B1343" s="39" t="s">
        <v>278</v>
      </c>
      <c r="C1343" s="32" t="s">
        <v>76</v>
      </c>
      <c r="D1343" s="41">
        <v>2</v>
      </c>
      <c r="E1343" s="90"/>
      <c r="F1343" s="90"/>
      <c r="G1343" s="90"/>
      <c r="H1343" s="89"/>
      <c r="I1343" s="89"/>
      <c r="J1343" s="90">
        <f>SUM(H1344:H1349)</f>
        <v>5</v>
      </c>
      <c r="K1343" s="157">
        <v>5</v>
      </c>
      <c r="L1343" s="157">
        <v>1500</v>
      </c>
      <c r="M1343" s="158">
        <f t="shared" si="207"/>
        <v>7500</v>
      </c>
      <c r="N1343" s="34"/>
      <c r="O1343" s="82">
        <f t="shared" si="197"/>
        <v>0</v>
      </c>
    </row>
    <row r="1344" spans="1:15" s="5" customFormat="1" ht="16.149999999999999" customHeight="1" x14ac:dyDescent="0.2">
      <c r="A1344" s="30"/>
      <c r="B1344" s="98" t="s">
        <v>464</v>
      </c>
      <c r="C1344" s="32"/>
      <c r="D1344" s="32">
        <v>1</v>
      </c>
      <c r="E1344" s="89">
        <v>1</v>
      </c>
      <c r="F1344" s="89"/>
      <c r="G1344" s="89"/>
      <c r="H1344" s="89">
        <f t="shared" ref="H1344:H1348" si="213">PRODUCT(D1344:G1344)</f>
        <v>1</v>
      </c>
      <c r="I1344" s="89"/>
      <c r="K1344" s="157"/>
      <c r="L1344" s="157"/>
      <c r="M1344" s="158"/>
      <c r="O1344" s="82">
        <f t="shared" si="197"/>
        <v>0</v>
      </c>
    </row>
    <row r="1345" spans="1:15" s="5" customFormat="1" ht="16.149999999999999" customHeight="1" x14ac:dyDescent="0.2">
      <c r="A1345" s="30"/>
      <c r="B1345" s="98" t="s">
        <v>465</v>
      </c>
      <c r="C1345" s="32"/>
      <c r="D1345" s="32">
        <v>1</v>
      </c>
      <c r="E1345" s="89">
        <v>1</v>
      </c>
      <c r="F1345" s="89"/>
      <c r="G1345" s="89"/>
      <c r="H1345" s="89">
        <f t="shared" si="213"/>
        <v>1</v>
      </c>
      <c r="I1345" s="89"/>
      <c r="J1345" s="89"/>
      <c r="K1345" s="157"/>
      <c r="L1345" s="157"/>
      <c r="M1345" s="158"/>
      <c r="O1345" s="82">
        <f t="shared" si="197"/>
        <v>0</v>
      </c>
    </row>
    <row r="1346" spans="1:15" s="5" customFormat="1" ht="16.149999999999999" customHeight="1" x14ac:dyDescent="0.2">
      <c r="A1346" s="30"/>
      <c r="B1346" s="98" t="s">
        <v>530</v>
      </c>
      <c r="C1346" s="32"/>
      <c r="D1346" s="32">
        <v>1</v>
      </c>
      <c r="E1346" s="89">
        <v>1</v>
      </c>
      <c r="F1346" s="89"/>
      <c r="G1346" s="89"/>
      <c r="H1346" s="89">
        <f t="shared" si="213"/>
        <v>1</v>
      </c>
      <c r="I1346" s="89"/>
      <c r="J1346" s="89"/>
      <c r="K1346" s="157"/>
      <c r="L1346" s="157"/>
      <c r="M1346" s="158"/>
      <c r="O1346" s="82">
        <f t="shared" si="197"/>
        <v>0</v>
      </c>
    </row>
    <row r="1347" spans="1:15" s="5" customFormat="1" ht="16.149999999999999" customHeight="1" x14ac:dyDescent="0.2">
      <c r="A1347" s="30"/>
      <c r="B1347" s="98" t="s">
        <v>466</v>
      </c>
      <c r="C1347" s="32"/>
      <c r="D1347" s="32">
        <v>1</v>
      </c>
      <c r="E1347" s="89">
        <v>1</v>
      </c>
      <c r="F1347" s="89"/>
      <c r="G1347" s="89"/>
      <c r="H1347" s="89">
        <f t="shared" si="213"/>
        <v>1</v>
      </c>
      <c r="I1347" s="89"/>
      <c r="J1347" s="89"/>
      <c r="K1347" s="157"/>
      <c r="L1347" s="157"/>
      <c r="M1347" s="158"/>
      <c r="O1347" s="82">
        <f t="shared" si="197"/>
        <v>0</v>
      </c>
    </row>
    <row r="1348" spans="1:15" s="5" customFormat="1" ht="16.149999999999999" customHeight="1" x14ac:dyDescent="0.2">
      <c r="A1348" s="30"/>
      <c r="B1348" s="98" t="s">
        <v>467</v>
      </c>
      <c r="C1348" s="32"/>
      <c r="D1348" s="32">
        <v>1</v>
      </c>
      <c r="E1348" s="89">
        <v>1</v>
      </c>
      <c r="F1348" s="89"/>
      <c r="G1348" s="89"/>
      <c r="H1348" s="89">
        <f t="shared" si="213"/>
        <v>1</v>
      </c>
      <c r="I1348" s="89"/>
      <c r="J1348" s="89"/>
      <c r="K1348" s="157"/>
      <c r="L1348" s="157"/>
      <c r="M1348" s="158"/>
      <c r="O1348" s="82">
        <f t="shared" si="197"/>
        <v>0</v>
      </c>
    </row>
    <row r="1349" spans="1:15" ht="15.95" customHeight="1" x14ac:dyDescent="0.2">
      <c r="A1349" s="40"/>
      <c r="B1349" s="45"/>
      <c r="C1349" s="41"/>
      <c r="D1349" s="41"/>
      <c r="E1349" s="90"/>
      <c r="F1349" s="90"/>
      <c r="G1349" s="90"/>
      <c r="H1349" s="89"/>
      <c r="I1349" s="90">
        <f>SUM(H1344:H1348)</f>
        <v>5</v>
      </c>
      <c r="J1349" s="90"/>
      <c r="K1349" s="163"/>
      <c r="L1349" s="163"/>
      <c r="M1349" s="158"/>
      <c r="N1349" s="43"/>
      <c r="O1349" s="82">
        <f t="shared" si="197"/>
        <v>0</v>
      </c>
    </row>
    <row r="1350" spans="1:15" ht="18" customHeight="1" x14ac:dyDescent="0.2">
      <c r="A1350" s="56" t="s">
        <v>231</v>
      </c>
      <c r="B1350" s="39" t="s">
        <v>68</v>
      </c>
      <c r="C1350" s="32" t="s">
        <v>76</v>
      </c>
      <c r="D1350" s="41"/>
      <c r="E1350" s="90"/>
      <c r="F1350" s="90"/>
      <c r="G1350" s="90"/>
      <c r="H1350" s="89">
        <f t="shared" si="208"/>
        <v>0</v>
      </c>
      <c r="I1350" s="89">
        <f t="shared" ref="I1350:I1353" si="214">H1350</f>
        <v>0</v>
      </c>
      <c r="J1350" s="90">
        <f>SUM(I1351:I1353)</f>
        <v>18</v>
      </c>
      <c r="K1350" s="157">
        <v>18</v>
      </c>
      <c r="L1350" s="157">
        <v>800</v>
      </c>
      <c r="M1350" s="158">
        <f t="shared" si="207"/>
        <v>14400</v>
      </c>
      <c r="N1350" s="34"/>
      <c r="O1350" s="82">
        <f t="shared" si="197"/>
        <v>0</v>
      </c>
    </row>
    <row r="1351" spans="1:15" s="5" customFormat="1" ht="16.149999999999999" customHeight="1" x14ac:dyDescent="0.2">
      <c r="A1351" s="30"/>
      <c r="B1351" s="98" t="s">
        <v>465</v>
      </c>
      <c r="C1351" s="32"/>
      <c r="D1351" s="32">
        <v>2</v>
      </c>
      <c r="E1351" s="89">
        <v>1</v>
      </c>
      <c r="F1351" s="89"/>
      <c r="G1351" s="89"/>
      <c r="H1351" s="89">
        <f t="shared" si="208"/>
        <v>2</v>
      </c>
      <c r="I1351" s="89">
        <f t="shared" si="214"/>
        <v>2</v>
      </c>
      <c r="J1351" s="89"/>
      <c r="K1351" s="157"/>
      <c r="L1351" s="157"/>
      <c r="M1351" s="158"/>
      <c r="O1351" s="82">
        <f t="shared" si="197"/>
        <v>0</v>
      </c>
    </row>
    <row r="1352" spans="1:15" s="5" customFormat="1" ht="16.149999999999999" customHeight="1" x14ac:dyDescent="0.2">
      <c r="A1352" s="30"/>
      <c r="B1352" s="98" t="s">
        <v>530</v>
      </c>
      <c r="C1352" s="32"/>
      <c r="D1352" s="32">
        <v>4</v>
      </c>
      <c r="E1352" s="89">
        <v>1</v>
      </c>
      <c r="F1352" s="89"/>
      <c r="G1352" s="89"/>
      <c r="H1352" s="89">
        <f t="shared" si="208"/>
        <v>4</v>
      </c>
      <c r="I1352" s="89">
        <f t="shared" si="214"/>
        <v>4</v>
      </c>
      <c r="J1352" s="89"/>
      <c r="K1352" s="157"/>
      <c r="L1352" s="157"/>
      <c r="M1352" s="158"/>
      <c r="O1352" s="82">
        <f t="shared" si="197"/>
        <v>0</v>
      </c>
    </row>
    <row r="1353" spans="1:15" s="5" customFormat="1" ht="16.149999999999999" customHeight="1" x14ac:dyDescent="0.2">
      <c r="A1353" s="30"/>
      <c r="B1353" s="98" t="s">
        <v>466</v>
      </c>
      <c r="C1353" s="32"/>
      <c r="D1353" s="32">
        <v>12</v>
      </c>
      <c r="E1353" s="89">
        <v>1</v>
      </c>
      <c r="F1353" s="89"/>
      <c r="G1353" s="89"/>
      <c r="H1353" s="89">
        <f t="shared" si="208"/>
        <v>12</v>
      </c>
      <c r="I1353" s="89">
        <f t="shared" si="214"/>
        <v>12</v>
      </c>
      <c r="J1353" s="89"/>
      <c r="K1353" s="157"/>
      <c r="L1353" s="157"/>
      <c r="M1353" s="158"/>
      <c r="O1353" s="82">
        <f t="shared" si="197"/>
        <v>0</v>
      </c>
    </row>
    <row r="1354" spans="1:15" ht="18" customHeight="1" x14ac:dyDescent="0.2">
      <c r="A1354" s="56"/>
      <c r="B1354" s="39"/>
      <c r="C1354" s="41"/>
      <c r="D1354" s="41"/>
      <c r="E1354" s="90"/>
      <c r="F1354" s="90"/>
      <c r="G1354" s="90"/>
      <c r="H1354" s="89"/>
      <c r="I1354" s="89"/>
      <c r="J1354" s="90"/>
      <c r="K1354" s="157"/>
      <c r="L1354" s="157"/>
      <c r="M1354" s="158"/>
      <c r="N1354" s="34"/>
      <c r="O1354" s="82">
        <f t="shared" si="197"/>
        <v>0</v>
      </c>
    </row>
    <row r="1355" spans="1:15" ht="18" customHeight="1" x14ac:dyDescent="0.2">
      <c r="A1355" s="56">
        <v>150</v>
      </c>
      <c r="B1355" s="39" t="s">
        <v>12</v>
      </c>
      <c r="C1355" s="41" t="s">
        <v>76</v>
      </c>
      <c r="D1355" s="41"/>
      <c r="E1355" s="90"/>
      <c r="F1355" s="90"/>
      <c r="G1355" s="90"/>
      <c r="H1355" s="89"/>
      <c r="I1355" s="89">
        <f t="shared" ref="I1355" si="215">H1355</f>
        <v>0</v>
      </c>
      <c r="J1355" s="90">
        <f>SUM(I1356:I1358)</f>
        <v>3</v>
      </c>
      <c r="K1355" s="157">
        <v>3</v>
      </c>
      <c r="L1355" s="157">
        <v>350</v>
      </c>
      <c r="M1355" s="158">
        <f t="shared" si="207"/>
        <v>1050</v>
      </c>
      <c r="N1355" s="34"/>
      <c r="O1355" s="82">
        <f t="shared" ref="O1355:O1418" si="216">K1355-J1355</f>
        <v>0</v>
      </c>
    </row>
    <row r="1356" spans="1:15" s="5" customFormat="1" ht="16.149999999999999" customHeight="1" x14ac:dyDescent="0.2">
      <c r="A1356" s="30"/>
      <c r="B1356" s="98" t="s">
        <v>464</v>
      </c>
      <c r="C1356" s="32"/>
      <c r="D1356" s="32">
        <v>1</v>
      </c>
      <c r="E1356" s="89">
        <v>1</v>
      </c>
      <c r="F1356" s="89"/>
      <c r="G1356" s="89"/>
      <c r="H1356" s="89">
        <f t="shared" si="208"/>
        <v>1</v>
      </c>
      <c r="I1356" s="89">
        <f>H1356</f>
        <v>1</v>
      </c>
      <c r="K1356" s="157"/>
      <c r="L1356" s="157"/>
      <c r="M1356" s="158"/>
      <c r="O1356" s="82">
        <f t="shared" si="216"/>
        <v>0</v>
      </c>
    </row>
    <row r="1357" spans="1:15" s="5" customFormat="1" ht="16.149999999999999" customHeight="1" x14ac:dyDescent="0.2">
      <c r="A1357" s="30"/>
      <c r="B1357" s="98" t="s">
        <v>465</v>
      </c>
      <c r="C1357" s="32"/>
      <c r="D1357" s="32">
        <v>1</v>
      </c>
      <c r="E1357" s="89">
        <v>1</v>
      </c>
      <c r="F1357" s="89"/>
      <c r="G1357" s="89"/>
      <c r="H1357" s="89">
        <f t="shared" si="208"/>
        <v>1</v>
      </c>
      <c r="I1357" s="89">
        <f t="shared" ref="I1357:I1358" si="217">H1357</f>
        <v>1</v>
      </c>
      <c r="J1357" s="89"/>
      <c r="K1357" s="157"/>
      <c r="L1357" s="157"/>
      <c r="M1357" s="158"/>
      <c r="O1357" s="82">
        <f t="shared" si="216"/>
        <v>0</v>
      </c>
    </row>
    <row r="1358" spans="1:15" s="5" customFormat="1" ht="16.149999999999999" customHeight="1" x14ac:dyDescent="0.2">
      <c r="A1358" s="30"/>
      <c r="B1358" s="98" t="s">
        <v>530</v>
      </c>
      <c r="C1358" s="32"/>
      <c r="D1358" s="32">
        <v>1</v>
      </c>
      <c r="E1358" s="89">
        <v>1</v>
      </c>
      <c r="F1358" s="89"/>
      <c r="G1358" s="89"/>
      <c r="H1358" s="89">
        <f t="shared" ref="H1358" si="218">PRODUCT(D1358:G1358)</f>
        <v>1</v>
      </c>
      <c r="I1358" s="89">
        <f t="shared" si="217"/>
        <v>1</v>
      </c>
      <c r="J1358" s="89"/>
      <c r="K1358" s="157"/>
      <c r="L1358" s="157"/>
      <c r="M1358" s="158"/>
      <c r="O1358" s="82">
        <f t="shared" si="216"/>
        <v>0</v>
      </c>
    </row>
    <row r="1359" spans="1:15" ht="18" customHeight="1" x14ac:dyDescent="0.2">
      <c r="A1359" s="56"/>
      <c r="B1359" s="46"/>
      <c r="C1359" s="41"/>
      <c r="D1359" s="41"/>
      <c r="E1359" s="90"/>
      <c r="F1359" s="90"/>
      <c r="G1359" s="90"/>
      <c r="H1359" s="89"/>
      <c r="I1359" s="89"/>
      <c r="J1359" s="90"/>
      <c r="K1359" s="163"/>
      <c r="L1359" s="163"/>
      <c r="M1359" s="158"/>
      <c r="N1359" s="43"/>
      <c r="O1359" s="82">
        <f t="shared" si="216"/>
        <v>0</v>
      </c>
    </row>
    <row r="1360" spans="1:15" ht="15.95" customHeight="1" x14ac:dyDescent="0.2">
      <c r="A1360" s="56" t="s">
        <v>232</v>
      </c>
      <c r="B1360" s="46" t="s">
        <v>90</v>
      </c>
      <c r="C1360" s="41" t="s">
        <v>76</v>
      </c>
      <c r="D1360" s="41">
        <v>6</v>
      </c>
      <c r="E1360" s="90"/>
      <c r="F1360" s="90"/>
      <c r="G1360" s="90"/>
      <c r="H1360" s="89">
        <f t="shared" si="208"/>
        <v>6</v>
      </c>
      <c r="I1360" s="89">
        <f t="shared" ref="I1360:J1360" si="219">H1360</f>
        <v>6</v>
      </c>
      <c r="J1360" s="90">
        <f t="shared" si="219"/>
        <v>6</v>
      </c>
      <c r="K1360" s="163">
        <v>6</v>
      </c>
      <c r="L1360" s="163">
        <v>250</v>
      </c>
      <c r="M1360" s="158">
        <f t="shared" si="207"/>
        <v>1500</v>
      </c>
      <c r="N1360" s="43"/>
      <c r="O1360" s="82">
        <f t="shared" si="216"/>
        <v>0</v>
      </c>
    </row>
    <row r="1361" spans="1:15" ht="18" customHeight="1" x14ac:dyDescent="0.2">
      <c r="A1361" s="30"/>
      <c r="B1361" s="31" t="s">
        <v>233</v>
      </c>
      <c r="C1361" s="32"/>
      <c r="D1361" s="32"/>
      <c r="E1361" s="89"/>
      <c r="F1361" s="89"/>
      <c r="G1361" s="89"/>
      <c r="H1361" s="89"/>
      <c r="I1361" s="89"/>
      <c r="J1361" s="89"/>
      <c r="K1361" s="157"/>
      <c r="L1361" s="157"/>
      <c r="M1361" s="158"/>
      <c r="N1361" s="34"/>
      <c r="O1361" s="82">
        <f t="shared" si="216"/>
        <v>0</v>
      </c>
    </row>
    <row r="1362" spans="1:15" ht="18" customHeight="1" x14ac:dyDescent="0.2">
      <c r="A1362" s="56" t="s">
        <v>234</v>
      </c>
      <c r="B1362" s="39" t="s">
        <v>124</v>
      </c>
      <c r="C1362" s="32" t="s">
        <v>76</v>
      </c>
      <c r="D1362" s="41"/>
      <c r="E1362" s="90"/>
      <c r="F1362" s="90"/>
      <c r="G1362" s="90"/>
      <c r="H1362" s="89">
        <f t="shared" ref="H1362:H1389" si="220">PRODUCT(D1362:G1362)</f>
        <v>0</v>
      </c>
      <c r="I1362" s="89">
        <f t="shared" ref="I1362" si="221">H1362</f>
        <v>0</v>
      </c>
      <c r="J1362" s="90">
        <f>SUM(I1362:I1367)</f>
        <v>27</v>
      </c>
      <c r="K1362" s="157">
        <v>27</v>
      </c>
      <c r="L1362" s="157">
        <v>100</v>
      </c>
      <c r="M1362" s="158">
        <f t="shared" si="207"/>
        <v>2700</v>
      </c>
      <c r="N1362" s="34"/>
      <c r="O1362" s="82">
        <f t="shared" si="216"/>
        <v>0</v>
      </c>
    </row>
    <row r="1363" spans="1:15" s="5" customFormat="1" ht="16.149999999999999" customHeight="1" x14ac:dyDescent="0.2">
      <c r="A1363" s="30"/>
      <c r="B1363" s="98" t="s">
        <v>464</v>
      </c>
      <c r="C1363" s="32"/>
      <c r="D1363" s="32"/>
      <c r="E1363" s="89"/>
      <c r="F1363" s="89"/>
      <c r="G1363" s="89"/>
      <c r="H1363" s="89">
        <f t="shared" si="220"/>
        <v>0</v>
      </c>
      <c r="I1363" s="89">
        <f>H1363</f>
        <v>0</v>
      </c>
      <c r="K1363" s="157"/>
      <c r="L1363" s="157"/>
      <c r="M1363" s="158"/>
      <c r="O1363" s="82">
        <f t="shared" si="216"/>
        <v>0</v>
      </c>
    </row>
    <row r="1364" spans="1:15" s="5" customFormat="1" ht="16.149999999999999" customHeight="1" x14ac:dyDescent="0.2">
      <c r="A1364" s="30"/>
      <c r="B1364" s="98" t="s">
        <v>465</v>
      </c>
      <c r="C1364" s="32"/>
      <c r="D1364" s="32">
        <v>5</v>
      </c>
      <c r="E1364" s="89"/>
      <c r="F1364" s="89"/>
      <c r="G1364" s="89"/>
      <c r="H1364" s="89">
        <f t="shared" si="220"/>
        <v>5</v>
      </c>
      <c r="I1364" s="89">
        <f t="shared" ref="I1364:I1368" si="222">H1364</f>
        <v>5</v>
      </c>
      <c r="J1364" s="89"/>
      <c r="K1364" s="157"/>
      <c r="L1364" s="157"/>
      <c r="M1364" s="158"/>
      <c r="O1364" s="82">
        <f t="shared" si="216"/>
        <v>0</v>
      </c>
    </row>
    <row r="1365" spans="1:15" s="5" customFormat="1" ht="16.149999999999999" customHeight="1" x14ac:dyDescent="0.2">
      <c r="A1365" s="30"/>
      <c r="B1365" s="98" t="s">
        <v>530</v>
      </c>
      <c r="C1365" s="32"/>
      <c r="D1365" s="32">
        <v>10</v>
      </c>
      <c r="E1365" s="89"/>
      <c r="F1365" s="89"/>
      <c r="G1365" s="89"/>
      <c r="H1365" s="89">
        <f t="shared" si="220"/>
        <v>10</v>
      </c>
      <c r="I1365" s="89">
        <f t="shared" si="222"/>
        <v>10</v>
      </c>
      <c r="J1365" s="89"/>
      <c r="K1365" s="157"/>
      <c r="L1365" s="157"/>
      <c r="M1365" s="158"/>
      <c r="O1365" s="82">
        <f t="shared" si="216"/>
        <v>0</v>
      </c>
    </row>
    <row r="1366" spans="1:15" s="5" customFormat="1" ht="16.149999999999999" customHeight="1" x14ac:dyDescent="0.2">
      <c r="A1366" s="30"/>
      <c r="B1366" s="98" t="s">
        <v>466</v>
      </c>
      <c r="C1366" s="32"/>
      <c r="D1366" s="32">
        <v>12</v>
      </c>
      <c r="E1366" s="89"/>
      <c r="F1366" s="89"/>
      <c r="G1366" s="89"/>
      <c r="H1366" s="89">
        <f t="shared" si="220"/>
        <v>12</v>
      </c>
      <c r="I1366" s="89">
        <f t="shared" si="222"/>
        <v>12</v>
      </c>
      <c r="J1366" s="89"/>
      <c r="K1366" s="157"/>
      <c r="L1366" s="157"/>
      <c r="M1366" s="158"/>
      <c r="O1366" s="82">
        <f t="shared" si="216"/>
        <v>0</v>
      </c>
    </row>
    <row r="1367" spans="1:15" s="5" customFormat="1" ht="16.149999999999999" customHeight="1" x14ac:dyDescent="0.2">
      <c r="A1367" s="30"/>
      <c r="B1367" s="98" t="s">
        <v>467</v>
      </c>
      <c r="C1367" s="32"/>
      <c r="D1367" s="32"/>
      <c r="E1367" s="89"/>
      <c r="F1367" s="89"/>
      <c r="G1367" s="89"/>
      <c r="H1367" s="89">
        <f t="shared" si="220"/>
        <v>0</v>
      </c>
      <c r="I1367" s="89">
        <f t="shared" si="222"/>
        <v>0</v>
      </c>
      <c r="J1367" s="89"/>
      <c r="K1367" s="157"/>
      <c r="L1367" s="157"/>
      <c r="M1367" s="158"/>
      <c r="O1367" s="82">
        <f t="shared" si="216"/>
        <v>0</v>
      </c>
    </row>
    <row r="1368" spans="1:15" ht="18" customHeight="1" x14ac:dyDescent="0.2">
      <c r="A1368" s="56" t="s">
        <v>235</v>
      </c>
      <c r="B1368" s="39" t="s">
        <v>316</v>
      </c>
      <c r="C1368" s="32" t="s">
        <v>76</v>
      </c>
      <c r="D1368" s="41"/>
      <c r="E1368" s="90"/>
      <c r="F1368" s="90"/>
      <c r="G1368" s="90"/>
      <c r="H1368" s="89">
        <f t="shared" si="220"/>
        <v>0</v>
      </c>
      <c r="I1368" s="89">
        <f t="shared" si="222"/>
        <v>0</v>
      </c>
      <c r="J1368" s="90">
        <f>SUM(I1368:I1372)</f>
        <v>13</v>
      </c>
      <c r="K1368" s="157">
        <v>13</v>
      </c>
      <c r="L1368" s="157">
        <v>110</v>
      </c>
      <c r="M1368" s="158">
        <f t="shared" si="207"/>
        <v>1430</v>
      </c>
      <c r="N1368" s="34"/>
      <c r="O1368" s="82">
        <f t="shared" si="216"/>
        <v>0</v>
      </c>
    </row>
    <row r="1369" spans="1:15" s="5" customFormat="1" ht="16.149999999999999" customHeight="1" x14ac:dyDescent="0.2">
      <c r="A1369" s="30"/>
      <c r="B1369" s="98" t="s">
        <v>464</v>
      </c>
      <c r="C1369" s="32"/>
      <c r="D1369" s="32">
        <v>4</v>
      </c>
      <c r="E1369" s="89"/>
      <c r="F1369" s="89"/>
      <c r="G1369" s="89"/>
      <c r="H1369" s="89">
        <f t="shared" si="220"/>
        <v>4</v>
      </c>
      <c r="I1369" s="89">
        <f>H1369</f>
        <v>4</v>
      </c>
      <c r="K1369" s="157"/>
      <c r="L1369" s="157"/>
      <c r="M1369" s="158"/>
      <c r="O1369" s="82">
        <f t="shared" si="216"/>
        <v>0</v>
      </c>
    </row>
    <row r="1370" spans="1:15" s="5" customFormat="1" ht="16.149999999999999" customHeight="1" x14ac:dyDescent="0.2">
      <c r="A1370" s="30"/>
      <c r="B1370" s="98" t="s">
        <v>465</v>
      </c>
      <c r="C1370" s="32"/>
      <c r="D1370" s="32">
        <v>4</v>
      </c>
      <c r="E1370" s="89"/>
      <c r="F1370" s="89"/>
      <c r="G1370" s="89"/>
      <c r="H1370" s="89">
        <f t="shared" si="220"/>
        <v>4</v>
      </c>
      <c r="I1370" s="89">
        <f t="shared" ref="I1370:I1373" si="223">H1370</f>
        <v>4</v>
      </c>
      <c r="J1370" s="89"/>
      <c r="K1370" s="157"/>
      <c r="L1370" s="157"/>
      <c r="M1370" s="158"/>
      <c r="O1370" s="82">
        <f t="shared" si="216"/>
        <v>0</v>
      </c>
    </row>
    <row r="1371" spans="1:15" s="5" customFormat="1" ht="16.149999999999999" customHeight="1" x14ac:dyDescent="0.2">
      <c r="A1371" s="30"/>
      <c r="B1371" s="98" t="s">
        <v>466</v>
      </c>
      <c r="C1371" s="32"/>
      <c r="D1371" s="32">
        <v>4</v>
      </c>
      <c r="E1371" s="89"/>
      <c r="F1371" s="89"/>
      <c r="G1371" s="89"/>
      <c r="H1371" s="89">
        <f t="shared" si="220"/>
        <v>4</v>
      </c>
      <c r="I1371" s="89">
        <f t="shared" si="223"/>
        <v>4</v>
      </c>
      <c r="J1371" s="89"/>
      <c r="K1371" s="157"/>
      <c r="L1371" s="157"/>
      <c r="M1371" s="158"/>
      <c r="O1371" s="82">
        <f t="shared" si="216"/>
        <v>0</v>
      </c>
    </row>
    <row r="1372" spans="1:15" s="5" customFormat="1" ht="16.149999999999999" customHeight="1" x14ac:dyDescent="0.2">
      <c r="A1372" s="30"/>
      <c r="B1372" s="98" t="s">
        <v>467</v>
      </c>
      <c r="C1372" s="32"/>
      <c r="D1372" s="32">
        <v>1</v>
      </c>
      <c r="E1372" s="89"/>
      <c r="F1372" s="89"/>
      <c r="G1372" s="89"/>
      <c r="H1372" s="89">
        <f t="shared" si="220"/>
        <v>1</v>
      </c>
      <c r="I1372" s="89">
        <f t="shared" si="223"/>
        <v>1</v>
      </c>
      <c r="J1372" s="89"/>
      <c r="K1372" s="157"/>
      <c r="L1372" s="157"/>
      <c r="M1372" s="158"/>
      <c r="O1372" s="82">
        <f t="shared" si="216"/>
        <v>0</v>
      </c>
    </row>
    <row r="1373" spans="1:15" ht="18" customHeight="1" x14ac:dyDescent="0.2">
      <c r="A1373" s="56" t="s">
        <v>236</v>
      </c>
      <c r="B1373" s="39" t="s">
        <v>317</v>
      </c>
      <c r="C1373" s="32" t="s">
        <v>76</v>
      </c>
      <c r="D1373" s="41"/>
      <c r="E1373" s="90"/>
      <c r="F1373" s="90"/>
      <c r="G1373" s="90"/>
      <c r="H1373" s="89">
        <f t="shared" si="220"/>
        <v>0</v>
      </c>
      <c r="I1373" s="89">
        <f t="shared" si="223"/>
        <v>0</v>
      </c>
      <c r="J1373" s="90">
        <f>SUM(I1374:I1378)</f>
        <v>3</v>
      </c>
      <c r="K1373" s="157">
        <v>3</v>
      </c>
      <c r="L1373" s="157">
        <v>110</v>
      </c>
      <c r="M1373" s="158">
        <f t="shared" si="207"/>
        <v>330</v>
      </c>
      <c r="N1373" s="34"/>
      <c r="O1373" s="82">
        <f t="shared" si="216"/>
        <v>0</v>
      </c>
    </row>
    <row r="1374" spans="1:15" s="5" customFormat="1" ht="16.149999999999999" customHeight="1" x14ac:dyDescent="0.2">
      <c r="A1374" s="30"/>
      <c r="B1374" s="98" t="s">
        <v>464</v>
      </c>
      <c r="C1374" s="32"/>
      <c r="D1374" s="32">
        <v>1</v>
      </c>
      <c r="E1374" s="89"/>
      <c r="F1374" s="89"/>
      <c r="G1374" s="89"/>
      <c r="H1374" s="89">
        <f t="shared" si="220"/>
        <v>1</v>
      </c>
      <c r="I1374" s="89">
        <f>H1374</f>
        <v>1</v>
      </c>
      <c r="K1374" s="157"/>
      <c r="L1374" s="157"/>
      <c r="M1374" s="158"/>
      <c r="O1374" s="82">
        <f t="shared" si="216"/>
        <v>0</v>
      </c>
    </row>
    <row r="1375" spans="1:15" s="5" customFormat="1" ht="16.149999999999999" customHeight="1" x14ac:dyDescent="0.2">
      <c r="A1375" s="30"/>
      <c r="B1375" s="98" t="s">
        <v>465</v>
      </c>
      <c r="C1375" s="32"/>
      <c r="D1375" s="32">
        <v>1</v>
      </c>
      <c r="E1375" s="89"/>
      <c r="F1375" s="89"/>
      <c r="G1375" s="89"/>
      <c r="H1375" s="89">
        <f t="shared" si="220"/>
        <v>1</v>
      </c>
      <c r="I1375" s="89">
        <f t="shared" ref="I1375:I1379" si="224">H1375</f>
        <v>1</v>
      </c>
      <c r="J1375" s="89"/>
      <c r="K1375" s="157"/>
      <c r="L1375" s="157"/>
      <c r="M1375" s="158"/>
      <c r="O1375" s="82">
        <f t="shared" si="216"/>
        <v>0</v>
      </c>
    </row>
    <row r="1376" spans="1:15" s="5" customFormat="1" ht="16.149999999999999" customHeight="1" x14ac:dyDescent="0.2">
      <c r="A1376" s="30"/>
      <c r="B1376" s="98" t="s">
        <v>530</v>
      </c>
      <c r="C1376" s="32"/>
      <c r="D1376" s="32">
        <v>1</v>
      </c>
      <c r="E1376" s="89"/>
      <c r="F1376" s="89"/>
      <c r="G1376" s="89"/>
      <c r="H1376" s="89">
        <f t="shared" ref="H1376" si="225">PRODUCT(D1376:G1376)</f>
        <v>1</v>
      </c>
      <c r="I1376" s="89">
        <f t="shared" si="224"/>
        <v>1</v>
      </c>
      <c r="J1376" s="89"/>
      <c r="K1376" s="157"/>
      <c r="L1376" s="157"/>
      <c r="M1376" s="158"/>
      <c r="O1376" s="82">
        <f t="shared" si="216"/>
        <v>0</v>
      </c>
    </row>
    <row r="1377" spans="1:15" s="5" customFormat="1" ht="16.149999999999999" customHeight="1" x14ac:dyDescent="0.2">
      <c r="A1377" s="30"/>
      <c r="B1377" s="98" t="s">
        <v>466</v>
      </c>
      <c r="C1377" s="32"/>
      <c r="D1377" s="32"/>
      <c r="E1377" s="89"/>
      <c r="F1377" s="89"/>
      <c r="G1377" s="89"/>
      <c r="H1377" s="89">
        <f t="shared" si="220"/>
        <v>0</v>
      </c>
      <c r="I1377" s="89">
        <f t="shared" si="224"/>
        <v>0</v>
      </c>
      <c r="J1377" s="89"/>
      <c r="K1377" s="157"/>
      <c r="L1377" s="157"/>
      <c r="M1377" s="158"/>
      <c r="O1377" s="82">
        <f t="shared" si="216"/>
        <v>0</v>
      </c>
    </row>
    <row r="1378" spans="1:15" s="5" customFormat="1" ht="16.149999999999999" customHeight="1" x14ac:dyDescent="0.2">
      <c r="A1378" s="30"/>
      <c r="B1378" s="98" t="s">
        <v>467</v>
      </c>
      <c r="C1378" s="32"/>
      <c r="D1378" s="32"/>
      <c r="E1378" s="89"/>
      <c r="F1378" s="89"/>
      <c r="G1378" s="89"/>
      <c r="H1378" s="89">
        <f t="shared" si="220"/>
        <v>0</v>
      </c>
      <c r="I1378" s="89">
        <f t="shared" si="224"/>
        <v>0</v>
      </c>
      <c r="J1378" s="89"/>
      <c r="K1378" s="157"/>
      <c r="L1378" s="157"/>
      <c r="M1378" s="158"/>
      <c r="O1378" s="82">
        <f t="shared" si="216"/>
        <v>0</v>
      </c>
    </row>
    <row r="1379" spans="1:15" ht="18" customHeight="1" x14ac:dyDescent="0.2">
      <c r="A1379" s="56" t="s">
        <v>237</v>
      </c>
      <c r="B1379" s="39" t="s">
        <v>318</v>
      </c>
      <c r="C1379" s="32" t="s">
        <v>76</v>
      </c>
      <c r="D1379" s="41"/>
      <c r="E1379" s="90"/>
      <c r="F1379" s="90"/>
      <c r="G1379" s="90"/>
      <c r="H1379" s="89">
        <f t="shared" si="220"/>
        <v>0</v>
      </c>
      <c r="I1379" s="89">
        <f t="shared" si="224"/>
        <v>0</v>
      </c>
      <c r="J1379" s="90">
        <f>SUM(I1380:I1383)</f>
        <v>2</v>
      </c>
      <c r="K1379" s="157">
        <v>2</v>
      </c>
      <c r="L1379" s="157">
        <v>100</v>
      </c>
      <c r="M1379" s="158">
        <f t="shared" si="207"/>
        <v>200</v>
      </c>
      <c r="N1379" s="34"/>
      <c r="O1379" s="82">
        <f t="shared" si="216"/>
        <v>0</v>
      </c>
    </row>
    <row r="1380" spans="1:15" s="5" customFormat="1" ht="16.149999999999999" customHeight="1" x14ac:dyDescent="0.2">
      <c r="A1380" s="30"/>
      <c r="B1380" s="98" t="s">
        <v>464</v>
      </c>
      <c r="C1380" s="32"/>
      <c r="D1380" s="32">
        <v>2</v>
      </c>
      <c r="E1380" s="89"/>
      <c r="F1380" s="89"/>
      <c r="G1380" s="89"/>
      <c r="H1380" s="89">
        <f t="shared" si="220"/>
        <v>2</v>
      </c>
      <c r="I1380" s="89">
        <f>H1380</f>
        <v>2</v>
      </c>
      <c r="K1380" s="157"/>
      <c r="L1380" s="157"/>
      <c r="M1380" s="158"/>
      <c r="O1380" s="82">
        <f t="shared" si="216"/>
        <v>0</v>
      </c>
    </row>
    <row r="1381" spans="1:15" s="5" customFormat="1" ht="16.149999999999999" customHeight="1" x14ac:dyDescent="0.2">
      <c r="A1381" s="30"/>
      <c r="B1381" s="98" t="s">
        <v>465</v>
      </c>
      <c r="C1381" s="32"/>
      <c r="D1381" s="32"/>
      <c r="E1381" s="89"/>
      <c r="F1381" s="89"/>
      <c r="G1381" s="89"/>
      <c r="H1381" s="89">
        <f t="shared" si="220"/>
        <v>0</v>
      </c>
      <c r="I1381" s="89">
        <f t="shared" ref="I1381:I1384" si="226">H1381</f>
        <v>0</v>
      </c>
      <c r="J1381" s="89"/>
      <c r="K1381" s="157"/>
      <c r="L1381" s="157"/>
      <c r="M1381" s="158"/>
      <c r="O1381" s="82">
        <f t="shared" si="216"/>
        <v>0</v>
      </c>
    </row>
    <row r="1382" spans="1:15" s="5" customFormat="1" ht="16.149999999999999" customHeight="1" x14ac:dyDescent="0.2">
      <c r="A1382" s="30"/>
      <c r="B1382" s="98" t="s">
        <v>466</v>
      </c>
      <c r="C1382" s="32"/>
      <c r="D1382" s="32"/>
      <c r="E1382" s="89"/>
      <c r="F1382" s="89"/>
      <c r="G1382" s="89"/>
      <c r="H1382" s="89">
        <f t="shared" si="220"/>
        <v>0</v>
      </c>
      <c r="I1382" s="89">
        <f t="shared" si="226"/>
        <v>0</v>
      </c>
      <c r="J1382" s="89"/>
      <c r="K1382" s="157"/>
      <c r="L1382" s="157"/>
      <c r="M1382" s="158"/>
      <c r="O1382" s="82">
        <f t="shared" si="216"/>
        <v>0</v>
      </c>
    </row>
    <row r="1383" spans="1:15" s="5" customFormat="1" ht="16.149999999999999" customHeight="1" x14ac:dyDescent="0.2">
      <c r="A1383" s="30"/>
      <c r="B1383" s="98" t="s">
        <v>467</v>
      </c>
      <c r="C1383" s="32"/>
      <c r="D1383" s="32"/>
      <c r="E1383" s="89"/>
      <c r="F1383" s="89"/>
      <c r="G1383" s="89"/>
      <c r="H1383" s="89">
        <f t="shared" si="220"/>
        <v>0</v>
      </c>
      <c r="I1383" s="89">
        <f t="shared" si="226"/>
        <v>0</v>
      </c>
      <c r="J1383" s="89"/>
      <c r="K1383" s="157"/>
      <c r="L1383" s="157"/>
      <c r="M1383" s="158"/>
      <c r="O1383" s="82">
        <f t="shared" si="216"/>
        <v>0</v>
      </c>
    </row>
    <row r="1384" spans="1:15" ht="18" customHeight="1" x14ac:dyDescent="0.2">
      <c r="A1384" s="56" t="s">
        <v>238</v>
      </c>
      <c r="B1384" s="39" t="s">
        <v>294</v>
      </c>
      <c r="C1384" s="32" t="s">
        <v>76</v>
      </c>
      <c r="D1384" s="41"/>
      <c r="E1384" s="90"/>
      <c r="F1384" s="90"/>
      <c r="G1384" s="90"/>
      <c r="H1384" s="89">
        <f t="shared" si="220"/>
        <v>0</v>
      </c>
      <c r="I1384" s="89">
        <f t="shared" si="226"/>
        <v>0</v>
      </c>
      <c r="J1384" s="90">
        <f>SUM(I1385:I1389)</f>
        <v>32</v>
      </c>
      <c r="K1384" s="157">
        <v>31</v>
      </c>
      <c r="L1384" s="157">
        <v>60</v>
      </c>
      <c r="M1384" s="158">
        <f t="shared" si="207"/>
        <v>1860</v>
      </c>
      <c r="N1384" s="34"/>
      <c r="O1384" s="82">
        <f t="shared" si="216"/>
        <v>-1</v>
      </c>
    </row>
    <row r="1385" spans="1:15" s="5" customFormat="1" ht="16.149999999999999" customHeight="1" x14ac:dyDescent="0.2">
      <c r="A1385" s="30"/>
      <c r="B1385" s="98" t="s">
        <v>464</v>
      </c>
      <c r="C1385" s="32"/>
      <c r="D1385" s="32">
        <f>4*4+2*2</f>
        <v>20</v>
      </c>
      <c r="E1385" s="89"/>
      <c r="F1385" s="89"/>
      <c r="G1385" s="89"/>
      <c r="H1385" s="89">
        <f t="shared" si="220"/>
        <v>20</v>
      </c>
      <c r="I1385" s="89">
        <f>H1385</f>
        <v>20</v>
      </c>
      <c r="K1385" s="157"/>
      <c r="L1385" s="157"/>
      <c r="M1385" s="158"/>
      <c r="O1385" s="82">
        <f t="shared" si="216"/>
        <v>0</v>
      </c>
    </row>
    <row r="1386" spans="1:15" s="5" customFormat="1" ht="16.149999999999999" customHeight="1" x14ac:dyDescent="0.2">
      <c r="A1386" s="30"/>
      <c r="B1386" s="98" t="s">
        <v>465</v>
      </c>
      <c r="C1386" s="32"/>
      <c r="D1386" s="32">
        <v>6</v>
      </c>
      <c r="E1386" s="89"/>
      <c r="F1386" s="89"/>
      <c r="G1386" s="89"/>
      <c r="H1386" s="89">
        <f t="shared" si="220"/>
        <v>6</v>
      </c>
      <c r="I1386" s="89">
        <f t="shared" ref="I1386:I1389" si="227">H1386</f>
        <v>6</v>
      </c>
      <c r="J1386" s="89"/>
      <c r="K1386" s="157"/>
      <c r="L1386" s="157"/>
      <c r="M1386" s="158"/>
      <c r="O1386" s="82">
        <f t="shared" si="216"/>
        <v>0</v>
      </c>
    </row>
    <row r="1387" spans="1:15" s="5" customFormat="1" ht="16.149999999999999" customHeight="1" x14ac:dyDescent="0.2">
      <c r="A1387" s="30"/>
      <c r="B1387" s="98" t="s">
        <v>530</v>
      </c>
      <c r="C1387" s="32"/>
      <c r="D1387" s="32">
        <v>1</v>
      </c>
      <c r="E1387" s="89"/>
      <c r="F1387" s="89"/>
      <c r="G1387" s="89"/>
      <c r="H1387" s="89">
        <f t="shared" si="220"/>
        <v>1</v>
      </c>
      <c r="I1387" s="89">
        <f t="shared" si="227"/>
        <v>1</v>
      </c>
      <c r="J1387" s="89"/>
      <c r="K1387" s="157"/>
      <c r="L1387" s="157"/>
      <c r="M1387" s="158"/>
      <c r="O1387" s="82">
        <f t="shared" si="216"/>
        <v>0</v>
      </c>
    </row>
    <row r="1388" spans="1:15" s="5" customFormat="1" ht="16.149999999999999" customHeight="1" x14ac:dyDescent="0.2">
      <c r="A1388" s="30"/>
      <c r="B1388" s="98" t="s">
        <v>466</v>
      </c>
      <c r="C1388" s="32"/>
      <c r="D1388" s="32">
        <v>4</v>
      </c>
      <c r="E1388" s="89"/>
      <c r="F1388" s="89"/>
      <c r="G1388" s="89"/>
      <c r="H1388" s="89">
        <f t="shared" si="220"/>
        <v>4</v>
      </c>
      <c r="I1388" s="89">
        <f t="shared" si="227"/>
        <v>4</v>
      </c>
      <c r="J1388" s="89"/>
      <c r="K1388" s="157"/>
      <c r="L1388" s="157"/>
      <c r="M1388" s="158"/>
      <c r="O1388" s="82">
        <f t="shared" si="216"/>
        <v>0</v>
      </c>
    </row>
    <row r="1389" spans="1:15" s="5" customFormat="1" ht="16.149999999999999" customHeight="1" x14ac:dyDescent="0.2">
      <c r="A1389" s="30"/>
      <c r="B1389" s="98" t="s">
        <v>467</v>
      </c>
      <c r="C1389" s="32"/>
      <c r="D1389" s="32">
        <v>1</v>
      </c>
      <c r="E1389" s="89"/>
      <c r="F1389" s="89"/>
      <c r="G1389" s="89"/>
      <c r="H1389" s="89">
        <f t="shared" si="220"/>
        <v>1</v>
      </c>
      <c r="I1389" s="89">
        <f t="shared" si="227"/>
        <v>1</v>
      </c>
      <c r="J1389" s="89"/>
      <c r="K1389" s="157"/>
      <c r="L1389" s="157"/>
      <c r="M1389" s="158"/>
      <c r="O1389" s="82">
        <f t="shared" si="216"/>
        <v>0</v>
      </c>
    </row>
    <row r="1390" spans="1:15" s="5" customFormat="1" ht="16.149999999999999" customHeight="1" x14ac:dyDescent="0.2">
      <c r="A1390" s="30"/>
      <c r="B1390" s="36"/>
      <c r="C1390" s="32"/>
      <c r="D1390" s="32"/>
      <c r="E1390" s="120"/>
      <c r="F1390" s="120"/>
      <c r="G1390" s="120"/>
      <c r="H1390" s="120"/>
      <c r="I1390" s="120"/>
      <c r="J1390" s="120"/>
      <c r="K1390" s="157"/>
      <c r="L1390" s="157"/>
      <c r="M1390" s="158"/>
      <c r="O1390" s="82">
        <f t="shared" si="216"/>
        <v>0</v>
      </c>
    </row>
    <row r="1391" spans="1:15" ht="18" customHeight="1" x14ac:dyDescent="0.2">
      <c r="A1391" s="30"/>
      <c r="B1391" s="31" t="s">
        <v>239</v>
      </c>
      <c r="C1391" s="32"/>
      <c r="D1391" s="32"/>
      <c r="E1391" s="89"/>
      <c r="F1391" s="89"/>
      <c r="G1391" s="89"/>
      <c r="H1391" s="89"/>
      <c r="I1391" s="89"/>
      <c r="J1391" s="89"/>
      <c r="K1391" s="157"/>
      <c r="L1391" s="157"/>
      <c r="M1391" s="158"/>
      <c r="N1391" s="34"/>
      <c r="O1391" s="82">
        <f t="shared" si="216"/>
        <v>0</v>
      </c>
    </row>
    <row r="1392" spans="1:15" ht="18" customHeight="1" x14ac:dyDescent="0.2">
      <c r="A1392" s="56" t="s">
        <v>240</v>
      </c>
      <c r="B1392" s="39" t="s">
        <v>280</v>
      </c>
      <c r="C1392" s="32" t="s">
        <v>76</v>
      </c>
      <c r="D1392" s="41"/>
      <c r="E1392" s="90"/>
      <c r="F1392" s="90"/>
      <c r="G1392" s="90"/>
      <c r="H1392" s="89">
        <f t="shared" ref="H1392:H1430" si="228">PRODUCT(D1392:G1392)</f>
        <v>0</v>
      </c>
      <c r="I1392" s="89">
        <f t="shared" ref="I1392" si="229">H1392</f>
        <v>0</v>
      </c>
      <c r="J1392" s="90">
        <f>SUM(I1393:I1397)</f>
        <v>55</v>
      </c>
      <c r="K1392" s="157">
        <v>55</v>
      </c>
      <c r="L1392" s="157">
        <v>90</v>
      </c>
      <c r="M1392" s="158">
        <f t="shared" si="207"/>
        <v>4950</v>
      </c>
      <c r="N1392" s="34"/>
      <c r="O1392" s="82">
        <f t="shared" si="216"/>
        <v>0</v>
      </c>
    </row>
    <row r="1393" spans="1:15" s="5" customFormat="1" ht="16.149999999999999" customHeight="1" x14ac:dyDescent="0.2">
      <c r="A1393" s="30"/>
      <c r="B1393" s="98" t="s">
        <v>464</v>
      </c>
      <c r="C1393" s="32"/>
      <c r="D1393" s="32">
        <f>9*3+14</f>
        <v>41</v>
      </c>
      <c r="E1393" s="89"/>
      <c r="F1393" s="89"/>
      <c r="G1393" s="89"/>
      <c r="H1393" s="89">
        <f t="shared" si="228"/>
        <v>41</v>
      </c>
      <c r="I1393" s="89">
        <f>H1393</f>
        <v>41</v>
      </c>
      <c r="K1393" s="157"/>
      <c r="L1393" s="157"/>
      <c r="M1393" s="158"/>
      <c r="O1393" s="82">
        <f t="shared" si="216"/>
        <v>0</v>
      </c>
    </row>
    <row r="1394" spans="1:15" s="5" customFormat="1" ht="16.149999999999999" customHeight="1" x14ac:dyDescent="0.2">
      <c r="A1394" s="30"/>
      <c r="B1394" s="98" t="s">
        <v>465</v>
      </c>
      <c r="C1394" s="32"/>
      <c r="D1394" s="32">
        <v>5</v>
      </c>
      <c r="E1394" s="89"/>
      <c r="F1394" s="89"/>
      <c r="G1394" s="89"/>
      <c r="H1394" s="89">
        <f t="shared" si="228"/>
        <v>5</v>
      </c>
      <c r="I1394" s="89">
        <f t="shared" ref="I1394:I1397" si="230">H1394</f>
        <v>5</v>
      </c>
      <c r="J1394" s="89"/>
      <c r="K1394" s="157"/>
      <c r="L1394" s="157"/>
      <c r="M1394" s="158"/>
      <c r="O1394" s="82">
        <f t="shared" si="216"/>
        <v>0</v>
      </c>
    </row>
    <row r="1395" spans="1:15" s="5" customFormat="1" ht="16.149999999999999" customHeight="1" x14ac:dyDescent="0.2">
      <c r="A1395" s="30"/>
      <c r="B1395" s="98" t="s">
        <v>530</v>
      </c>
      <c r="C1395" s="32"/>
      <c r="D1395" s="32">
        <v>8</v>
      </c>
      <c r="E1395" s="89"/>
      <c r="F1395" s="89"/>
      <c r="G1395" s="89"/>
      <c r="H1395" s="89">
        <f t="shared" si="228"/>
        <v>8</v>
      </c>
      <c r="I1395" s="89">
        <f t="shared" si="230"/>
        <v>8</v>
      </c>
      <c r="J1395" s="89"/>
      <c r="K1395" s="157"/>
      <c r="L1395" s="157"/>
      <c r="M1395" s="158"/>
      <c r="O1395" s="82">
        <f t="shared" si="216"/>
        <v>0</v>
      </c>
    </row>
    <row r="1396" spans="1:15" s="5" customFormat="1" ht="16.149999999999999" customHeight="1" x14ac:dyDescent="0.2">
      <c r="A1396" s="30"/>
      <c r="B1396" s="98" t="s">
        <v>466</v>
      </c>
      <c r="C1396" s="32"/>
      <c r="D1396" s="32"/>
      <c r="E1396" s="89"/>
      <c r="F1396" s="89"/>
      <c r="G1396" s="89"/>
      <c r="H1396" s="89">
        <f t="shared" si="228"/>
        <v>0</v>
      </c>
      <c r="I1396" s="89">
        <f t="shared" si="230"/>
        <v>0</v>
      </c>
      <c r="J1396" s="89"/>
      <c r="K1396" s="157"/>
      <c r="L1396" s="157"/>
      <c r="M1396" s="158"/>
      <c r="O1396" s="82">
        <f t="shared" si="216"/>
        <v>0</v>
      </c>
    </row>
    <row r="1397" spans="1:15" s="5" customFormat="1" ht="16.149999999999999" customHeight="1" x14ac:dyDescent="0.2">
      <c r="A1397" s="30"/>
      <c r="B1397" s="98" t="s">
        <v>467</v>
      </c>
      <c r="C1397" s="32"/>
      <c r="D1397" s="32">
        <v>1</v>
      </c>
      <c r="E1397" s="89"/>
      <c r="F1397" s="89"/>
      <c r="G1397" s="89"/>
      <c r="H1397" s="89">
        <f t="shared" si="228"/>
        <v>1</v>
      </c>
      <c r="I1397" s="89">
        <f t="shared" si="230"/>
        <v>1</v>
      </c>
      <c r="J1397" s="89"/>
      <c r="K1397" s="157"/>
      <c r="L1397" s="157"/>
      <c r="M1397" s="158"/>
      <c r="O1397" s="82">
        <f t="shared" si="216"/>
        <v>0</v>
      </c>
    </row>
    <row r="1398" spans="1:15" s="5" customFormat="1" ht="16.149999999999999" customHeight="1" x14ac:dyDescent="0.2">
      <c r="A1398" s="30"/>
      <c r="B1398" s="36"/>
      <c r="C1398" s="32"/>
      <c r="D1398" s="32"/>
      <c r="E1398" s="120"/>
      <c r="F1398" s="120"/>
      <c r="G1398" s="120"/>
      <c r="H1398" s="120"/>
      <c r="I1398" s="120"/>
      <c r="J1398" s="120"/>
      <c r="K1398" s="157"/>
      <c r="L1398" s="157"/>
      <c r="M1398" s="158"/>
      <c r="O1398" s="82">
        <f t="shared" si="216"/>
        <v>0</v>
      </c>
    </row>
    <row r="1399" spans="1:15" ht="18" customHeight="1" x14ac:dyDescent="0.2">
      <c r="A1399" s="56" t="s">
        <v>240</v>
      </c>
      <c r="B1399" s="39" t="s">
        <v>556</v>
      </c>
      <c r="C1399" s="32" t="s">
        <v>76</v>
      </c>
      <c r="D1399" s="41"/>
      <c r="E1399" s="90"/>
      <c r="F1399" s="90"/>
      <c r="G1399" s="90"/>
      <c r="H1399" s="89">
        <f t="shared" ref="H1399:H1404" si="231">PRODUCT(D1399:G1399)</f>
        <v>0</v>
      </c>
      <c r="I1399" s="89">
        <f t="shared" ref="I1399" si="232">H1399</f>
        <v>0</v>
      </c>
      <c r="J1399" s="90">
        <f>SUM(I1400:I1404)</f>
        <v>3</v>
      </c>
      <c r="K1399" s="157">
        <v>3</v>
      </c>
      <c r="L1399" s="157">
        <v>120</v>
      </c>
      <c r="M1399" s="158">
        <f t="shared" ref="M1399" si="233">+L1399*K1399</f>
        <v>360</v>
      </c>
      <c r="N1399" s="34"/>
      <c r="O1399" s="82">
        <f t="shared" si="216"/>
        <v>0</v>
      </c>
    </row>
    <row r="1400" spans="1:15" s="5" customFormat="1" ht="16.149999999999999" customHeight="1" x14ac:dyDescent="0.2">
      <c r="A1400" s="30"/>
      <c r="B1400" s="98" t="s">
        <v>464</v>
      </c>
      <c r="C1400" s="32"/>
      <c r="D1400" s="32"/>
      <c r="E1400" s="89"/>
      <c r="F1400" s="89"/>
      <c r="G1400" s="89"/>
      <c r="H1400" s="89">
        <f t="shared" si="231"/>
        <v>0</v>
      </c>
      <c r="I1400" s="89">
        <f>H1400</f>
        <v>0</v>
      </c>
      <c r="K1400" s="157"/>
      <c r="L1400" s="157"/>
      <c r="M1400" s="158"/>
      <c r="O1400" s="82">
        <f t="shared" si="216"/>
        <v>0</v>
      </c>
    </row>
    <row r="1401" spans="1:15" s="5" customFormat="1" ht="16.149999999999999" customHeight="1" x14ac:dyDescent="0.2">
      <c r="A1401" s="30"/>
      <c r="B1401" s="98" t="s">
        <v>465</v>
      </c>
      <c r="C1401" s="32"/>
      <c r="D1401" s="32"/>
      <c r="E1401" s="89"/>
      <c r="F1401" s="89"/>
      <c r="G1401" s="89"/>
      <c r="H1401" s="89">
        <f t="shared" si="231"/>
        <v>0</v>
      </c>
      <c r="I1401" s="89">
        <f t="shared" ref="I1401:I1404" si="234">H1401</f>
        <v>0</v>
      </c>
      <c r="J1401" s="89"/>
      <c r="K1401" s="157"/>
      <c r="L1401" s="157"/>
      <c r="M1401" s="158"/>
      <c r="O1401" s="82">
        <f t="shared" si="216"/>
        <v>0</v>
      </c>
    </row>
    <row r="1402" spans="1:15" s="5" customFormat="1" ht="16.149999999999999" customHeight="1" x14ac:dyDescent="0.2">
      <c r="A1402" s="30"/>
      <c r="B1402" s="98" t="s">
        <v>530</v>
      </c>
      <c r="C1402" s="32"/>
      <c r="D1402" s="32">
        <v>3</v>
      </c>
      <c r="E1402" s="89"/>
      <c r="F1402" s="89"/>
      <c r="G1402" s="89"/>
      <c r="H1402" s="89">
        <f t="shared" si="231"/>
        <v>3</v>
      </c>
      <c r="I1402" s="89">
        <f t="shared" si="234"/>
        <v>3</v>
      </c>
      <c r="J1402" s="89"/>
      <c r="K1402" s="157"/>
      <c r="L1402" s="157"/>
      <c r="M1402" s="158"/>
      <c r="O1402" s="82">
        <f t="shared" si="216"/>
        <v>0</v>
      </c>
    </row>
    <row r="1403" spans="1:15" s="5" customFormat="1" ht="16.149999999999999" customHeight="1" x14ac:dyDescent="0.2">
      <c r="A1403" s="30"/>
      <c r="B1403" s="98" t="s">
        <v>466</v>
      </c>
      <c r="C1403" s="32"/>
      <c r="D1403" s="32"/>
      <c r="E1403" s="89"/>
      <c r="F1403" s="89"/>
      <c r="G1403" s="89"/>
      <c r="H1403" s="89">
        <f t="shared" si="231"/>
        <v>0</v>
      </c>
      <c r="I1403" s="89">
        <f t="shared" si="234"/>
        <v>0</v>
      </c>
      <c r="J1403" s="89"/>
      <c r="K1403" s="157"/>
      <c r="L1403" s="157"/>
      <c r="M1403" s="158"/>
      <c r="O1403" s="82">
        <f t="shared" si="216"/>
        <v>0</v>
      </c>
    </row>
    <row r="1404" spans="1:15" s="5" customFormat="1" ht="16.149999999999999" customHeight="1" x14ac:dyDescent="0.2">
      <c r="A1404" s="30"/>
      <c r="B1404" s="98" t="s">
        <v>467</v>
      </c>
      <c r="C1404" s="32"/>
      <c r="D1404" s="32"/>
      <c r="E1404" s="89"/>
      <c r="F1404" s="89"/>
      <c r="G1404" s="89"/>
      <c r="H1404" s="89">
        <f t="shared" si="231"/>
        <v>0</v>
      </c>
      <c r="I1404" s="89">
        <f t="shared" si="234"/>
        <v>0</v>
      </c>
      <c r="J1404" s="89"/>
      <c r="K1404" s="157"/>
      <c r="L1404" s="157"/>
      <c r="M1404" s="158"/>
      <c r="O1404" s="82">
        <f t="shared" si="216"/>
        <v>0</v>
      </c>
    </row>
    <row r="1405" spans="1:15" s="5" customFormat="1" ht="16.149999999999999" customHeight="1" x14ac:dyDescent="0.2">
      <c r="A1405" s="30"/>
      <c r="B1405" s="36"/>
      <c r="C1405" s="32"/>
      <c r="D1405" s="32"/>
      <c r="E1405" s="120"/>
      <c r="F1405" s="120"/>
      <c r="G1405" s="120"/>
      <c r="H1405" s="120"/>
      <c r="I1405" s="120"/>
      <c r="J1405" s="120"/>
      <c r="K1405" s="157"/>
      <c r="L1405" s="157"/>
      <c r="M1405" s="158"/>
      <c r="O1405" s="82">
        <f t="shared" si="216"/>
        <v>0</v>
      </c>
    </row>
    <row r="1406" spans="1:15" ht="18" customHeight="1" x14ac:dyDescent="0.2">
      <c r="A1406" s="56" t="s">
        <v>242</v>
      </c>
      <c r="B1406" s="39" t="s">
        <v>281</v>
      </c>
      <c r="C1406" s="32" t="s">
        <v>76</v>
      </c>
      <c r="D1406" s="41"/>
      <c r="E1406" s="90"/>
      <c r="F1406" s="90"/>
      <c r="G1406" s="90"/>
      <c r="H1406" s="89">
        <f t="shared" si="228"/>
        <v>0</v>
      </c>
      <c r="I1406" s="89">
        <f t="shared" ref="I1406" si="235">H1406</f>
        <v>0</v>
      </c>
      <c r="J1406" s="90">
        <f>SUM(I1406:I1411)</f>
        <v>4</v>
      </c>
      <c r="K1406" s="157">
        <v>4</v>
      </c>
      <c r="L1406" s="157">
        <v>110</v>
      </c>
      <c r="M1406" s="158">
        <f t="shared" si="207"/>
        <v>440</v>
      </c>
      <c r="N1406" s="34"/>
      <c r="O1406" s="82">
        <f t="shared" si="216"/>
        <v>0</v>
      </c>
    </row>
    <row r="1407" spans="1:15" s="5" customFormat="1" ht="16.149999999999999" customHeight="1" x14ac:dyDescent="0.2">
      <c r="A1407" s="30"/>
      <c r="B1407" s="98" t="s">
        <v>464</v>
      </c>
      <c r="C1407" s="32"/>
      <c r="D1407" s="32"/>
      <c r="E1407" s="89"/>
      <c r="F1407" s="89"/>
      <c r="G1407" s="89"/>
      <c r="H1407" s="89">
        <f t="shared" si="228"/>
        <v>0</v>
      </c>
      <c r="I1407" s="89">
        <f>H1407</f>
        <v>0</v>
      </c>
      <c r="K1407" s="157"/>
      <c r="L1407" s="157"/>
      <c r="M1407" s="158"/>
      <c r="O1407" s="82">
        <f t="shared" si="216"/>
        <v>0</v>
      </c>
    </row>
    <row r="1408" spans="1:15" s="5" customFormat="1" ht="16.149999999999999" customHeight="1" x14ac:dyDescent="0.2">
      <c r="A1408" s="30"/>
      <c r="B1408" s="98" t="s">
        <v>465</v>
      </c>
      <c r="C1408" s="32"/>
      <c r="D1408" s="32">
        <v>2</v>
      </c>
      <c r="E1408" s="89"/>
      <c r="F1408" s="89"/>
      <c r="G1408" s="89"/>
      <c r="H1408" s="89">
        <f t="shared" si="228"/>
        <v>2</v>
      </c>
      <c r="I1408" s="89">
        <f t="shared" ref="I1408:I1411" si="236">H1408</f>
        <v>2</v>
      </c>
      <c r="J1408" s="89"/>
      <c r="K1408" s="157"/>
      <c r="L1408" s="157"/>
      <c r="M1408" s="158"/>
      <c r="O1408" s="82">
        <f t="shared" si="216"/>
        <v>0</v>
      </c>
    </row>
    <row r="1409" spans="1:15" s="5" customFormat="1" ht="16.149999999999999" customHeight="1" x14ac:dyDescent="0.2">
      <c r="A1409" s="30"/>
      <c r="B1409" s="98" t="s">
        <v>530</v>
      </c>
      <c r="C1409" s="32"/>
      <c r="D1409" s="32">
        <v>2</v>
      </c>
      <c r="E1409" s="89"/>
      <c r="F1409" s="89"/>
      <c r="G1409" s="89"/>
      <c r="H1409" s="89">
        <f t="shared" si="228"/>
        <v>2</v>
      </c>
      <c r="I1409" s="89">
        <f t="shared" si="236"/>
        <v>2</v>
      </c>
      <c r="J1409" s="89"/>
      <c r="K1409" s="157"/>
      <c r="L1409" s="157"/>
      <c r="M1409" s="158"/>
      <c r="O1409" s="82">
        <f t="shared" si="216"/>
        <v>0</v>
      </c>
    </row>
    <row r="1410" spans="1:15" s="5" customFormat="1" ht="16.149999999999999" customHeight="1" x14ac:dyDescent="0.2">
      <c r="A1410" s="30"/>
      <c r="B1410" s="98" t="s">
        <v>466</v>
      </c>
      <c r="C1410" s="32"/>
      <c r="D1410" s="32"/>
      <c r="E1410" s="89"/>
      <c r="F1410" s="89"/>
      <c r="G1410" s="89"/>
      <c r="H1410" s="89">
        <f t="shared" si="228"/>
        <v>0</v>
      </c>
      <c r="I1410" s="89">
        <f t="shared" si="236"/>
        <v>0</v>
      </c>
      <c r="J1410" s="89"/>
      <c r="K1410" s="157"/>
      <c r="L1410" s="157"/>
      <c r="M1410" s="158"/>
      <c r="O1410" s="82">
        <f t="shared" si="216"/>
        <v>0</v>
      </c>
    </row>
    <row r="1411" spans="1:15" s="5" customFormat="1" ht="16.149999999999999" customHeight="1" x14ac:dyDescent="0.2">
      <c r="A1411" s="30"/>
      <c r="B1411" s="98" t="s">
        <v>467</v>
      </c>
      <c r="C1411" s="32"/>
      <c r="D1411" s="32"/>
      <c r="E1411" s="89"/>
      <c r="F1411" s="89"/>
      <c r="G1411" s="89"/>
      <c r="H1411" s="89">
        <f t="shared" si="228"/>
        <v>0</v>
      </c>
      <c r="I1411" s="89">
        <f t="shared" si="236"/>
        <v>0</v>
      </c>
      <c r="J1411" s="89"/>
      <c r="K1411" s="157"/>
      <c r="L1411" s="157"/>
      <c r="M1411" s="158"/>
      <c r="O1411" s="82">
        <f t="shared" si="216"/>
        <v>0</v>
      </c>
    </row>
    <row r="1412" spans="1:15" s="5" customFormat="1" ht="16.149999999999999" customHeight="1" x14ac:dyDescent="0.2">
      <c r="A1412" s="30"/>
      <c r="B1412" s="36"/>
      <c r="C1412" s="32"/>
      <c r="D1412" s="32"/>
      <c r="E1412" s="120"/>
      <c r="F1412" s="120"/>
      <c r="G1412" s="120"/>
      <c r="H1412" s="120"/>
      <c r="I1412" s="120"/>
      <c r="J1412" s="120"/>
      <c r="K1412" s="157"/>
      <c r="L1412" s="157"/>
      <c r="M1412" s="158"/>
      <c r="O1412" s="82">
        <f t="shared" si="216"/>
        <v>0</v>
      </c>
    </row>
    <row r="1413" spans="1:15" ht="18" customHeight="1" x14ac:dyDescent="0.2">
      <c r="A1413" s="56" t="s">
        <v>243</v>
      </c>
      <c r="B1413" s="39" t="s">
        <v>521</v>
      </c>
      <c r="C1413" s="32" t="s">
        <v>76</v>
      </c>
      <c r="D1413" s="41"/>
      <c r="E1413" s="90"/>
      <c r="F1413" s="90"/>
      <c r="G1413" s="90"/>
      <c r="H1413" s="89">
        <f t="shared" si="228"/>
        <v>0</v>
      </c>
      <c r="I1413" s="89">
        <f t="shared" ref="I1413" si="237">H1413</f>
        <v>0</v>
      </c>
      <c r="J1413" s="90">
        <f>SUM(I1414:I1418)</f>
        <v>5</v>
      </c>
      <c r="K1413" s="157">
        <v>5</v>
      </c>
      <c r="L1413" s="157">
        <v>110</v>
      </c>
      <c r="M1413" s="158">
        <f t="shared" si="207"/>
        <v>550</v>
      </c>
      <c r="N1413" s="34"/>
      <c r="O1413" s="82">
        <f t="shared" si="216"/>
        <v>0</v>
      </c>
    </row>
    <row r="1414" spans="1:15" s="5" customFormat="1" ht="16.149999999999999" customHeight="1" x14ac:dyDescent="0.2">
      <c r="A1414" s="30"/>
      <c r="B1414" s="98" t="s">
        <v>464</v>
      </c>
      <c r="C1414" s="32"/>
      <c r="D1414" s="32"/>
      <c r="E1414" s="89"/>
      <c r="F1414" s="89"/>
      <c r="G1414" s="89"/>
      <c r="H1414" s="89">
        <f t="shared" si="228"/>
        <v>0</v>
      </c>
      <c r="I1414" s="89">
        <f>H1414</f>
        <v>0</v>
      </c>
      <c r="K1414" s="157"/>
      <c r="L1414" s="157"/>
      <c r="M1414" s="158"/>
      <c r="O1414" s="82">
        <f t="shared" si="216"/>
        <v>0</v>
      </c>
    </row>
    <row r="1415" spans="1:15" s="5" customFormat="1" ht="16.149999999999999" customHeight="1" x14ac:dyDescent="0.2">
      <c r="A1415" s="30"/>
      <c r="B1415" s="98" t="s">
        <v>465</v>
      </c>
      <c r="C1415" s="32"/>
      <c r="D1415" s="32">
        <v>1</v>
      </c>
      <c r="E1415" s="89"/>
      <c r="F1415" s="89"/>
      <c r="G1415" s="89"/>
      <c r="H1415" s="89">
        <f t="shared" si="228"/>
        <v>1</v>
      </c>
      <c r="I1415" s="89">
        <f t="shared" ref="I1415:I1418" si="238">H1415</f>
        <v>1</v>
      </c>
      <c r="J1415" s="89"/>
      <c r="K1415" s="157"/>
      <c r="L1415" s="157"/>
      <c r="M1415" s="158"/>
      <c r="O1415" s="82">
        <f t="shared" si="216"/>
        <v>0</v>
      </c>
    </row>
    <row r="1416" spans="1:15" s="5" customFormat="1" ht="16.149999999999999" customHeight="1" x14ac:dyDescent="0.2">
      <c r="A1416" s="30"/>
      <c r="B1416" s="98" t="s">
        <v>530</v>
      </c>
      <c r="C1416" s="32"/>
      <c r="D1416" s="32">
        <v>4</v>
      </c>
      <c r="E1416" s="89"/>
      <c r="F1416" s="89"/>
      <c r="G1416" s="89"/>
      <c r="H1416" s="89">
        <f t="shared" ref="H1416" si="239">PRODUCT(D1416:G1416)</f>
        <v>4</v>
      </c>
      <c r="I1416" s="89">
        <f t="shared" si="238"/>
        <v>4</v>
      </c>
      <c r="J1416" s="89"/>
      <c r="K1416" s="157"/>
      <c r="L1416" s="157"/>
      <c r="M1416" s="158"/>
      <c r="O1416" s="82">
        <f t="shared" si="216"/>
        <v>0</v>
      </c>
    </row>
    <row r="1417" spans="1:15" s="5" customFormat="1" ht="16.149999999999999" customHeight="1" x14ac:dyDescent="0.2">
      <c r="A1417" s="30"/>
      <c r="B1417" s="98" t="s">
        <v>466</v>
      </c>
      <c r="C1417" s="32"/>
      <c r="D1417" s="32"/>
      <c r="E1417" s="89"/>
      <c r="F1417" s="89"/>
      <c r="G1417" s="89"/>
      <c r="H1417" s="89">
        <f t="shared" si="228"/>
        <v>0</v>
      </c>
      <c r="I1417" s="89">
        <f t="shared" si="238"/>
        <v>0</v>
      </c>
      <c r="J1417" s="89"/>
      <c r="K1417" s="157"/>
      <c r="L1417" s="157"/>
      <c r="M1417" s="158"/>
      <c r="O1417" s="82">
        <f t="shared" si="216"/>
        <v>0</v>
      </c>
    </row>
    <row r="1418" spans="1:15" s="5" customFormat="1" ht="16.149999999999999" customHeight="1" x14ac:dyDescent="0.2">
      <c r="A1418" s="30"/>
      <c r="B1418" s="98" t="s">
        <v>467</v>
      </c>
      <c r="C1418" s="32"/>
      <c r="D1418" s="32"/>
      <c r="E1418" s="89"/>
      <c r="F1418" s="89"/>
      <c r="G1418" s="89"/>
      <c r="H1418" s="89">
        <f t="shared" si="228"/>
        <v>0</v>
      </c>
      <c r="I1418" s="89">
        <f t="shared" si="238"/>
        <v>0</v>
      </c>
      <c r="J1418" s="89"/>
      <c r="K1418" s="157"/>
      <c r="L1418" s="157"/>
      <c r="M1418" s="158"/>
      <c r="O1418" s="82">
        <f t="shared" si="216"/>
        <v>0</v>
      </c>
    </row>
    <row r="1419" spans="1:15" s="5" customFormat="1" ht="16.149999999999999" customHeight="1" x14ac:dyDescent="0.2">
      <c r="A1419" s="30"/>
      <c r="B1419" s="36"/>
      <c r="C1419" s="32"/>
      <c r="D1419" s="32"/>
      <c r="E1419" s="120"/>
      <c r="F1419" s="120"/>
      <c r="G1419" s="120"/>
      <c r="H1419" s="120"/>
      <c r="I1419" s="120"/>
      <c r="J1419" s="120"/>
      <c r="K1419" s="157"/>
      <c r="L1419" s="157"/>
      <c r="M1419" s="158"/>
      <c r="O1419" s="82">
        <f t="shared" ref="O1419:O1482" si="240">K1419-J1419</f>
        <v>0</v>
      </c>
    </row>
    <row r="1420" spans="1:15" s="83" customFormat="1" ht="18" customHeight="1" x14ac:dyDescent="0.2">
      <c r="A1420" s="56" t="s">
        <v>43</v>
      </c>
      <c r="B1420" s="55" t="s">
        <v>334</v>
      </c>
      <c r="C1420" s="59" t="s">
        <v>76</v>
      </c>
      <c r="D1420" s="41"/>
      <c r="E1420" s="90"/>
      <c r="F1420" s="90"/>
      <c r="G1420" s="90"/>
      <c r="H1420" s="89">
        <f t="shared" si="228"/>
        <v>0</v>
      </c>
      <c r="I1420" s="89">
        <f t="shared" ref="I1420" si="241">H1420</f>
        <v>0</v>
      </c>
      <c r="J1420" s="90">
        <f>SUM(I1421:I1424)</f>
        <v>1</v>
      </c>
      <c r="K1420" s="157">
        <v>1</v>
      </c>
      <c r="L1420" s="165">
        <v>2000</v>
      </c>
      <c r="M1420" s="158">
        <f t="shared" si="207"/>
        <v>2000</v>
      </c>
      <c r="N1420" s="60"/>
      <c r="O1420" s="82">
        <f t="shared" si="240"/>
        <v>0</v>
      </c>
    </row>
    <row r="1421" spans="1:15" s="5" customFormat="1" ht="16.149999999999999" customHeight="1" x14ac:dyDescent="0.2">
      <c r="A1421" s="30"/>
      <c r="B1421" s="98" t="s">
        <v>464</v>
      </c>
      <c r="C1421" s="32"/>
      <c r="D1421" s="32">
        <v>1</v>
      </c>
      <c r="E1421" s="89"/>
      <c r="F1421" s="89"/>
      <c r="G1421" s="89"/>
      <c r="H1421" s="89">
        <f t="shared" si="228"/>
        <v>1</v>
      </c>
      <c r="I1421" s="89">
        <f>H1421</f>
        <v>1</v>
      </c>
      <c r="K1421" s="157"/>
      <c r="L1421" s="157"/>
      <c r="M1421" s="158"/>
      <c r="O1421" s="82">
        <f t="shared" si="240"/>
        <v>0</v>
      </c>
    </row>
    <row r="1422" spans="1:15" s="5" customFormat="1" ht="16.149999999999999" customHeight="1" x14ac:dyDescent="0.2">
      <c r="A1422" s="30"/>
      <c r="B1422" s="98" t="s">
        <v>465</v>
      </c>
      <c r="C1422" s="32"/>
      <c r="D1422" s="32"/>
      <c r="E1422" s="89"/>
      <c r="F1422" s="89"/>
      <c r="G1422" s="89"/>
      <c r="H1422" s="89">
        <f t="shared" si="228"/>
        <v>0</v>
      </c>
      <c r="I1422" s="89">
        <f t="shared" ref="I1422:I1424" si="242">H1422</f>
        <v>0</v>
      </c>
      <c r="J1422" s="89"/>
      <c r="K1422" s="157"/>
      <c r="L1422" s="157"/>
      <c r="M1422" s="158"/>
      <c r="O1422" s="82">
        <f t="shared" si="240"/>
        <v>0</v>
      </c>
    </row>
    <row r="1423" spans="1:15" s="5" customFormat="1" ht="16.149999999999999" customHeight="1" x14ac:dyDescent="0.2">
      <c r="A1423" s="30"/>
      <c r="B1423" s="98" t="s">
        <v>466</v>
      </c>
      <c r="C1423" s="32"/>
      <c r="D1423" s="32"/>
      <c r="E1423" s="89"/>
      <c r="F1423" s="89"/>
      <c r="G1423" s="89"/>
      <c r="H1423" s="89">
        <f t="shared" si="228"/>
        <v>0</v>
      </c>
      <c r="I1423" s="89">
        <f t="shared" si="242"/>
        <v>0</v>
      </c>
      <c r="J1423" s="89"/>
      <c r="K1423" s="157"/>
      <c r="L1423" s="157"/>
      <c r="M1423" s="158"/>
      <c r="O1423" s="82">
        <f t="shared" si="240"/>
        <v>0</v>
      </c>
    </row>
    <row r="1424" spans="1:15" s="5" customFormat="1" ht="16.149999999999999" customHeight="1" x14ac:dyDescent="0.2">
      <c r="A1424" s="30"/>
      <c r="B1424" s="98" t="s">
        <v>467</v>
      </c>
      <c r="C1424" s="32"/>
      <c r="D1424" s="32"/>
      <c r="E1424" s="89"/>
      <c r="F1424" s="89"/>
      <c r="G1424" s="89"/>
      <c r="H1424" s="89">
        <f t="shared" si="228"/>
        <v>0</v>
      </c>
      <c r="I1424" s="89">
        <f t="shared" si="242"/>
        <v>0</v>
      </c>
      <c r="J1424" s="89"/>
      <c r="K1424" s="157"/>
      <c r="L1424" s="157"/>
      <c r="M1424" s="158"/>
      <c r="O1424" s="82">
        <f t="shared" si="240"/>
        <v>0</v>
      </c>
    </row>
    <row r="1425" spans="1:15" s="5" customFormat="1" ht="16.149999999999999" customHeight="1" x14ac:dyDescent="0.2">
      <c r="A1425" s="30"/>
      <c r="B1425" s="36"/>
      <c r="C1425" s="32"/>
      <c r="D1425" s="32"/>
      <c r="E1425" s="120"/>
      <c r="F1425" s="120"/>
      <c r="G1425" s="120"/>
      <c r="H1425" s="120"/>
      <c r="I1425" s="120"/>
      <c r="J1425" s="120"/>
      <c r="K1425" s="157"/>
      <c r="L1425" s="157"/>
      <c r="M1425" s="158"/>
      <c r="O1425" s="82">
        <f t="shared" si="240"/>
        <v>0</v>
      </c>
    </row>
    <row r="1426" spans="1:15" ht="18" customHeight="1" x14ac:dyDescent="0.2">
      <c r="A1426" s="56" t="s">
        <v>345</v>
      </c>
      <c r="B1426" s="39" t="s">
        <v>356</v>
      </c>
      <c r="C1426" s="32" t="s">
        <v>76</v>
      </c>
      <c r="D1426" s="41"/>
      <c r="E1426" s="90"/>
      <c r="F1426" s="90"/>
      <c r="G1426" s="90"/>
      <c r="H1426" s="89">
        <f t="shared" si="228"/>
        <v>0</v>
      </c>
      <c r="I1426" s="89">
        <f t="shared" ref="I1426" si="243">H1426</f>
        <v>0</v>
      </c>
      <c r="J1426" s="90">
        <f>SUM(I1427:I1430)</f>
        <v>14</v>
      </c>
      <c r="K1426" s="157">
        <v>14</v>
      </c>
      <c r="L1426" s="157">
        <v>120</v>
      </c>
      <c r="M1426" s="158">
        <f t="shared" si="207"/>
        <v>1680</v>
      </c>
      <c r="N1426" s="34"/>
      <c r="O1426" s="82">
        <f t="shared" si="240"/>
        <v>0</v>
      </c>
    </row>
    <row r="1427" spans="1:15" s="5" customFormat="1" ht="16.149999999999999" customHeight="1" x14ac:dyDescent="0.2">
      <c r="A1427" s="30"/>
      <c r="B1427" s="98" t="s">
        <v>464</v>
      </c>
      <c r="C1427" s="32"/>
      <c r="D1427" s="32">
        <v>14</v>
      </c>
      <c r="E1427" s="89"/>
      <c r="F1427" s="89"/>
      <c r="G1427" s="89"/>
      <c r="H1427" s="89">
        <f t="shared" si="228"/>
        <v>14</v>
      </c>
      <c r="I1427" s="89">
        <f>H1427</f>
        <v>14</v>
      </c>
      <c r="K1427" s="157"/>
      <c r="L1427" s="157"/>
      <c r="M1427" s="158"/>
      <c r="O1427" s="82">
        <f t="shared" si="240"/>
        <v>0</v>
      </c>
    </row>
    <row r="1428" spans="1:15" s="5" customFormat="1" ht="16.149999999999999" customHeight="1" x14ac:dyDescent="0.2">
      <c r="A1428" s="30"/>
      <c r="B1428" s="98" t="s">
        <v>465</v>
      </c>
      <c r="C1428" s="32"/>
      <c r="D1428" s="32"/>
      <c r="E1428" s="89"/>
      <c r="F1428" s="89"/>
      <c r="G1428" s="89"/>
      <c r="H1428" s="89">
        <f t="shared" si="228"/>
        <v>0</v>
      </c>
      <c r="I1428" s="89">
        <f t="shared" ref="I1428:I1430" si="244">H1428</f>
        <v>0</v>
      </c>
      <c r="J1428" s="89"/>
      <c r="K1428" s="157"/>
      <c r="L1428" s="157"/>
      <c r="M1428" s="158"/>
      <c r="O1428" s="82">
        <f t="shared" si="240"/>
        <v>0</v>
      </c>
    </row>
    <row r="1429" spans="1:15" s="5" customFormat="1" ht="16.149999999999999" customHeight="1" x14ac:dyDescent="0.2">
      <c r="A1429" s="30"/>
      <c r="B1429" s="98" t="s">
        <v>466</v>
      </c>
      <c r="C1429" s="32"/>
      <c r="D1429" s="32"/>
      <c r="E1429" s="89"/>
      <c r="F1429" s="89"/>
      <c r="G1429" s="89"/>
      <c r="H1429" s="89">
        <f t="shared" si="228"/>
        <v>0</v>
      </c>
      <c r="I1429" s="89">
        <f t="shared" si="244"/>
        <v>0</v>
      </c>
      <c r="J1429" s="89"/>
      <c r="K1429" s="157"/>
      <c r="L1429" s="157"/>
      <c r="M1429" s="158"/>
      <c r="O1429" s="82">
        <f t="shared" si="240"/>
        <v>0</v>
      </c>
    </row>
    <row r="1430" spans="1:15" s="5" customFormat="1" ht="16.149999999999999" customHeight="1" x14ac:dyDescent="0.2">
      <c r="A1430" s="30"/>
      <c r="B1430" s="98" t="s">
        <v>467</v>
      </c>
      <c r="C1430" s="32"/>
      <c r="D1430" s="32"/>
      <c r="E1430" s="89"/>
      <c r="F1430" s="89"/>
      <c r="G1430" s="89"/>
      <c r="H1430" s="89">
        <f t="shared" si="228"/>
        <v>0</v>
      </c>
      <c r="I1430" s="89">
        <f t="shared" si="244"/>
        <v>0</v>
      </c>
      <c r="J1430" s="89"/>
      <c r="K1430" s="157"/>
      <c r="L1430" s="157"/>
      <c r="M1430" s="158"/>
      <c r="O1430" s="82">
        <f t="shared" si="240"/>
        <v>0</v>
      </c>
    </row>
    <row r="1431" spans="1:15" s="5" customFormat="1" ht="16.149999999999999" customHeight="1" x14ac:dyDescent="0.2">
      <c r="A1431" s="30"/>
      <c r="B1431" s="36"/>
      <c r="C1431" s="32"/>
      <c r="D1431" s="32"/>
      <c r="E1431" s="120"/>
      <c r="F1431" s="120"/>
      <c r="G1431" s="120"/>
      <c r="H1431" s="120"/>
      <c r="I1431" s="120"/>
      <c r="J1431" s="120"/>
      <c r="K1431" s="157"/>
      <c r="L1431" s="157"/>
      <c r="M1431" s="158"/>
      <c r="O1431" s="82">
        <f t="shared" si="240"/>
        <v>0</v>
      </c>
    </row>
    <row r="1432" spans="1:15" ht="18" customHeight="1" x14ac:dyDescent="0.2">
      <c r="A1432" s="30"/>
      <c r="B1432" s="31" t="s">
        <v>244</v>
      </c>
      <c r="C1432" s="32"/>
      <c r="D1432" s="32"/>
      <c r="E1432" s="89"/>
      <c r="F1432" s="89"/>
      <c r="G1432" s="89"/>
      <c r="H1432" s="89"/>
      <c r="I1432" s="89"/>
      <c r="J1432" s="89"/>
      <c r="K1432" s="157"/>
      <c r="L1432" s="157"/>
      <c r="M1432" s="158"/>
      <c r="N1432" s="34"/>
      <c r="O1432" s="82">
        <f t="shared" si="240"/>
        <v>0</v>
      </c>
    </row>
    <row r="1433" spans="1:15" s="83" customFormat="1" ht="18" customHeight="1" x14ac:dyDescent="0.2">
      <c r="A1433" s="61" t="s">
        <v>15</v>
      </c>
      <c r="B1433" s="55" t="s">
        <v>332</v>
      </c>
      <c r="C1433" s="59" t="s">
        <v>76</v>
      </c>
      <c r="D1433" s="41"/>
      <c r="E1433" s="90"/>
      <c r="F1433" s="90"/>
      <c r="G1433" s="90"/>
      <c r="H1433" s="89"/>
      <c r="I1433" s="89"/>
      <c r="J1433" s="90">
        <f>SUM(I1434:I1438)</f>
        <v>12</v>
      </c>
      <c r="K1433" s="157">
        <v>12</v>
      </c>
      <c r="L1433" s="165">
        <v>90</v>
      </c>
      <c r="M1433" s="158">
        <f t="shared" si="207"/>
        <v>1080</v>
      </c>
      <c r="N1433" s="60"/>
      <c r="O1433" s="82">
        <f t="shared" si="240"/>
        <v>0</v>
      </c>
    </row>
    <row r="1434" spans="1:15" s="5" customFormat="1" ht="16.149999999999999" customHeight="1" x14ac:dyDescent="0.2">
      <c r="A1434" s="30"/>
      <c r="B1434" s="98" t="s">
        <v>464</v>
      </c>
      <c r="C1434" s="32"/>
      <c r="D1434" s="32">
        <v>0</v>
      </c>
      <c r="E1434" s="89"/>
      <c r="F1434" s="89"/>
      <c r="G1434" s="89"/>
      <c r="H1434" s="89">
        <f t="shared" ref="H1434:H1458" si="245">PRODUCT(D1434:G1434)</f>
        <v>0</v>
      </c>
      <c r="I1434" s="89">
        <f>H1434</f>
        <v>0</v>
      </c>
      <c r="K1434" s="157"/>
      <c r="L1434" s="157"/>
      <c r="M1434" s="158"/>
      <c r="O1434" s="82">
        <f t="shared" si="240"/>
        <v>0</v>
      </c>
    </row>
    <row r="1435" spans="1:15" s="5" customFormat="1" ht="16.149999999999999" customHeight="1" x14ac:dyDescent="0.2">
      <c r="A1435" s="30"/>
      <c r="B1435" s="98" t="s">
        <v>465</v>
      </c>
      <c r="C1435" s="32"/>
      <c r="D1435" s="32">
        <v>5</v>
      </c>
      <c r="E1435" s="89"/>
      <c r="F1435" s="89"/>
      <c r="G1435" s="89"/>
      <c r="H1435" s="89">
        <f t="shared" si="245"/>
        <v>5</v>
      </c>
      <c r="I1435" s="89">
        <f t="shared" ref="I1435:I1438" si="246">H1435</f>
        <v>5</v>
      </c>
      <c r="J1435" s="89"/>
      <c r="K1435" s="157"/>
      <c r="L1435" s="157"/>
      <c r="M1435" s="158"/>
      <c r="O1435" s="82">
        <f t="shared" si="240"/>
        <v>0</v>
      </c>
    </row>
    <row r="1436" spans="1:15" s="5" customFormat="1" ht="16.149999999999999" customHeight="1" x14ac:dyDescent="0.2">
      <c r="A1436" s="30"/>
      <c r="B1436" s="98" t="s">
        <v>530</v>
      </c>
      <c r="C1436" s="32"/>
      <c r="D1436" s="32">
        <v>6</v>
      </c>
      <c r="E1436" s="89"/>
      <c r="F1436" s="89"/>
      <c r="G1436" s="89"/>
      <c r="H1436" s="89">
        <f t="shared" si="245"/>
        <v>6</v>
      </c>
      <c r="I1436" s="89">
        <f t="shared" si="246"/>
        <v>6</v>
      </c>
      <c r="J1436" s="89"/>
      <c r="K1436" s="157"/>
      <c r="L1436" s="157"/>
      <c r="M1436" s="158"/>
      <c r="O1436" s="82">
        <f t="shared" si="240"/>
        <v>0</v>
      </c>
    </row>
    <row r="1437" spans="1:15" s="5" customFormat="1" ht="16.149999999999999" customHeight="1" x14ac:dyDescent="0.2">
      <c r="A1437" s="30"/>
      <c r="B1437" s="98" t="s">
        <v>466</v>
      </c>
      <c r="C1437" s="32"/>
      <c r="D1437" s="32">
        <v>0</v>
      </c>
      <c r="E1437" s="89"/>
      <c r="F1437" s="89"/>
      <c r="G1437" s="89"/>
      <c r="H1437" s="89">
        <f t="shared" si="245"/>
        <v>0</v>
      </c>
      <c r="I1437" s="89">
        <f t="shared" si="246"/>
        <v>0</v>
      </c>
      <c r="J1437" s="89"/>
      <c r="K1437" s="157"/>
      <c r="L1437" s="157"/>
      <c r="M1437" s="158"/>
      <c r="O1437" s="82">
        <f t="shared" si="240"/>
        <v>0</v>
      </c>
    </row>
    <row r="1438" spans="1:15" s="5" customFormat="1" ht="16.149999999999999" customHeight="1" x14ac:dyDescent="0.2">
      <c r="A1438" s="30"/>
      <c r="B1438" s="98" t="s">
        <v>467</v>
      </c>
      <c r="C1438" s="32"/>
      <c r="D1438" s="32">
        <v>1</v>
      </c>
      <c r="E1438" s="89"/>
      <c r="F1438" s="89"/>
      <c r="G1438" s="89"/>
      <c r="H1438" s="89">
        <f t="shared" si="245"/>
        <v>1</v>
      </c>
      <c r="I1438" s="89">
        <f t="shared" si="246"/>
        <v>1</v>
      </c>
      <c r="J1438" s="89"/>
      <c r="K1438" s="157"/>
      <c r="L1438" s="157"/>
      <c r="M1438" s="158"/>
      <c r="O1438" s="82">
        <f t="shared" si="240"/>
        <v>0</v>
      </c>
    </row>
    <row r="1439" spans="1:15" s="83" customFormat="1" ht="18" customHeight="1" x14ac:dyDescent="0.2">
      <c r="A1439" s="61" t="s">
        <v>16</v>
      </c>
      <c r="B1439" s="55" t="s">
        <v>302</v>
      </c>
      <c r="C1439" s="59" t="s">
        <v>76</v>
      </c>
      <c r="D1439" s="41"/>
      <c r="E1439" s="90"/>
      <c r="F1439" s="90"/>
      <c r="G1439" s="90"/>
      <c r="H1439" s="89"/>
      <c r="I1439" s="89"/>
      <c r="J1439" s="90">
        <f>SUM(I1440:I1444)</f>
        <v>38</v>
      </c>
      <c r="K1439" s="157">
        <v>38</v>
      </c>
      <c r="L1439" s="165">
        <v>100</v>
      </c>
      <c r="M1439" s="158">
        <f t="shared" si="207"/>
        <v>3800</v>
      </c>
      <c r="N1439" s="60"/>
      <c r="O1439" s="82">
        <f t="shared" si="240"/>
        <v>0</v>
      </c>
    </row>
    <row r="1440" spans="1:15" s="5" customFormat="1" ht="16.149999999999999" customHeight="1" x14ac:dyDescent="0.2">
      <c r="A1440" s="30"/>
      <c r="B1440" s="98" t="s">
        <v>464</v>
      </c>
      <c r="C1440" s="32"/>
      <c r="D1440" s="32">
        <v>7</v>
      </c>
      <c r="E1440" s="89"/>
      <c r="F1440" s="89"/>
      <c r="G1440" s="89"/>
      <c r="H1440" s="89">
        <f t="shared" ref="H1440:H1444" si="247">PRODUCT(D1440:G1440)</f>
        <v>7</v>
      </c>
      <c r="I1440" s="89">
        <f>H1440</f>
        <v>7</v>
      </c>
      <c r="K1440" s="157"/>
      <c r="L1440" s="157"/>
      <c r="M1440" s="158"/>
      <c r="O1440" s="82">
        <f t="shared" si="240"/>
        <v>0</v>
      </c>
    </row>
    <row r="1441" spans="1:15" s="5" customFormat="1" ht="16.149999999999999" customHeight="1" x14ac:dyDescent="0.2">
      <c r="A1441" s="30"/>
      <c r="B1441" s="98" t="s">
        <v>465</v>
      </c>
      <c r="C1441" s="32"/>
      <c r="D1441" s="32">
        <v>4</v>
      </c>
      <c r="E1441" s="89"/>
      <c r="F1441" s="89"/>
      <c r="G1441" s="89"/>
      <c r="H1441" s="89">
        <f t="shared" si="247"/>
        <v>4</v>
      </c>
      <c r="I1441" s="89">
        <f t="shared" ref="I1441:I1445" si="248">H1441</f>
        <v>4</v>
      </c>
      <c r="J1441" s="89"/>
      <c r="K1441" s="157"/>
      <c r="L1441" s="157"/>
      <c r="M1441" s="158"/>
      <c r="O1441" s="82">
        <f t="shared" si="240"/>
        <v>0</v>
      </c>
    </row>
    <row r="1442" spans="1:15" s="5" customFormat="1" ht="16.149999999999999" customHeight="1" x14ac:dyDescent="0.2">
      <c r="A1442" s="30"/>
      <c r="B1442" s="98" t="s">
        <v>530</v>
      </c>
      <c r="C1442" s="32"/>
      <c r="D1442" s="32">
        <v>6</v>
      </c>
      <c r="E1442" s="89"/>
      <c r="F1442" s="89"/>
      <c r="G1442" s="89"/>
      <c r="H1442" s="89">
        <f t="shared" si="247"/>
        <v>6</v>
      </c>
      <c r="I1442" s="89">
        <f t="shared" si="248"/>
        <v>6</v>
      </c>
      <c r="J1442" s="89"/>
      <c r="K1442" s="157"/>
      <c r="L1442" s="157"/>
      <c r="M1442" s="158"/>
      <c r="O1442" s="82">
        <f t="shared" si="240"/>
        <v>0</v>
      </c>
    </row>
    <row r="1443" spans="1:15" s="5" customFormat="1" ht="16.149999999999999" customHeight="1" x14ac:dyDescent="0.2">
      <c r="A1443" s="30"/>
      <c r="B1443" s="98" t="s">
        <v>466</v>
      </c>
      <c r="C1443" s="32"/>
      <c r="D1443" s="32">
        <v>20</v>
      </c>
      <c r="E1443" s="89"/>
      <c r="F1443" s="89"/>
      <c r="G1443" s="89"/>
      <c r="H1443" s="89">
        <f t="shared" si="247"/>
        <v>20</v>
      </c>
      <c r="I1443" s="89">
        <f t="shared" si="248"/>
        <v>20</v>
      </c>
      <c r="J1443" s="89"/>
      <c r="K1443" s="157"/>
      <c r="L1443" s="157"/>
      <c r="M1443" s="158"/>
      <c r="O1443" s="82">
        <f t="shared" si="240"/>
        <v>0</v>
      </c>
    </row>
    <row r="1444" spans="1:15" s="5" customFormat="1" ht="16.149999999999999" customHeight="1" x14ac:dyDescent="0.2">
      <c r="A1444" s="30"/>
      <c r="B1444" s="98" t="s">
        <v>467</v>
      </c>
      <c r="C1444" s="32"/>
      <c r="D1444" s="32">
        <v>1</v>
      </c>
      <c r="E1444" s="89"/>
      <c r="F1444" s="89"/>
      <c r="G1444" s="89"/>
      <c r="H1444" s="89">
        <f t="shared" si="247"/>
        <v>1</v>
      </c>
      <c r="I1444" s="89">
        <f t="shared" si="248"/>
        <v>1</v>
      </c>
      <c r="J1444" s="89"/>
      <c r="K1444" s="157"/>
      <c r="L1444" s="157"/>
      <c r="M1444" s="158"/>
      <c r="O1444" s="82">
        <f t="shared" si="240"/>
        <v>0</v>
      </c>
    </row>
    <row r="1445" spans="1:15" s="83" customFormat="1" ht="18" customHeight="1" x14ac:dyDescent="0.2">
      <c r="A1445" s="61" t="s">
        <v>17</v>
      </c>
      <c r="B1445" s="55" t="s">
        <v>127</v>
      </c>
      <c r="C1445" s="59" t="s">
        <v>76</v>
      </c>
      <c r="D1445" s="41"/>
      <c r="E1445" s="90"/>
      <c r="F1445" s="90"/>
      <c r="G1445" s="90"/>
      <c r="H1445" s="89">
        <f t="shared" si="245"/>
        <v>0</v>
      </c>
      <c r="I1445" s="89">
        <f t="shared" si="248"/>
        <v>0</v>
      </c>
      <c r="J1445" s="90">
        <f>SUM(I1446:I1449)</f>
        <v>32</v>
      </c>
      <c r="K1445" s="157">
        <v>32</v>
      </c>
      <c r="L1445" s="165">
        <v>300</v>
      </c>
      <c r="M1445" s="158">
        <f t="shared" si="207"/>
        <v>9600</v>
      </c>
      <c r="N1445" s="60"/>
      <c r="O1445" s="82">
        <f t="shared" si="240"/>
        <v>0</v>
      </c>
    </row>
    <row r="1446" spans="1:15" s="5" customFormat="1" ht="16.149999999999999" customHeight="1" x14ac:dyDescent="0.2">
      <c r="A1446" s="30"/>
      <c r="B1446" s="98" t="s">
        <v>464</v>
      </c>
      <c r="C1446" s="32"/>
      <c r="D1446" s="32">
        <f>6*4</f>
        <v>24</v>
      </c>
      <c r="E1446" s="89"/>
      <c r="F1446" s="89"/>
      <c r="G1446" s="89"/>
      <c r="H1446" s="89">
        <f t="shared" si="245"/>
        <v>24</v>
      </c>
      <c r="I1446" s="89">
        <f>H1446</f>
        <v>24</v>
      </c>
      <c r="K1446" s="157"/>
      <c r="L1446" s="157"/>
      <c r="M1446" s="158"/>
      <c r="O1446" s="82">
        <f t="shared" si="240"/>
        <v>0</v>
      </c>
    </row>
    <row r="1447" spans="1:15" s="5" customFormat="1" ht="16.149999999999999" customHeight="1" x14ac:dyDescent="0.2">
      <c r="A1447" s="30"/>
      <c r="B1447" s="98" t="s">
        <v>465</v>
      </c>
      <c r="C1447" s="32"/>
      <c r="D1447" s="32">
        <v>8</v>
      </c>
      <c r="E1447" s="89"/>
      <c r="F1447" s="89"/>
      <c r="G1447" s="89"/>
      <c r="H1447" s="89">
        <f t="shared" si="245"/>
        <v>8</v>
      </c>
      <c r="I1447" s="89">
        <f t="shared" ref="I1447:I1449" si="249">H1447</f>
        <v>8</v>
      </c>
      <c r="J1447" s="89"/>
      <c r="K1447" s="157"/>
      <c r="L1447" s="157"/>
      <c r="M1447" s="158"/>
      <c r="O1447" s="82">
        <f t="shared" si="240"/>
        <v>0</v>
      </c>
    </row>
    <row r="1448" spans="1:15" s="5" customFormat="1" ht="16.149999999999999" customHeight="1" x14ac:dyDescent="0.2">
      <c r="A1448" s="30"/>
      <c r="B1448" s="98" t="s">
        <v>466</v>
      </c>
      <c r="C1448" s="32"/>
      <c r="D1448" s="32"/>
      <c r="E1448" s="89"/>
      <c r="F1448" s="89"/>
      <c r="G1448" s="89"/>
      <c r="H1448" s="89">
        <f t="shared" si="245"/>
        <v>0</v>
      </c>
      <c r="I1448" s="89">
        <f t="shared" si="249"/>
        <v>0</v>
      </c>
      <c r="J1448" s="89"/>
      <c r="K1448" s="157"/>
      <c r="L1448" s="157"/>
      <c r="M1448" s="158"/>
      <c r="O1448" s="82">
        <f t="shared" si="240"/>
        <v>0</v>
      </c>
    </row>
    <row r="1449" spans="1:15" s="5" customFormat="1" ht="16.149999999999999" customHeight="1" x14ac:dyDescent="0.2">
      <c r="A1449" s="30"/>
      <c r="B1449" s="98" t="s">
        <v>467</v>
      </c>
      <c r="C1449" s="32"/>
      <c r="D1449" s="32"/>
      <c r="E1449" s="89"/>
      <c r="F1449" s="89"/>
      <c r="G1449" s="89"/>
      <c r="H1449" s="89">
        <f t="shared" si="245"/>
        <v>0</v>
      </c>
      <c r="I1449" s="89">
        <f t="shared" si="249"/>
        <v>0</v>
      </c>
      <c r="J1449" s="89"/>
      <c r="K1449" s="157"/>
      <c r="L1449" s="157"/>
      <c r="M1449" s="158"/>
      <c r="O1449" s="82">
        <f t="shared" si="240"/>
        <v>0</v>
      </c>
    </row>
    <row r="1450" spans="1:15" s="83" customFormat="1" ht="18" customHeight="1" x14ac:dyDescent="0.2">
      <c r="A1450" s="61" t="s">
        <v>73</v>
      </c>
      <c r="B1450" s="55" t="s">
        <v>303</v>
      </c>
      <c r="C1450" s="59" t="s">
        <v>76</v>
      </c>
      <c r="D1450" s="41"/>
      <c r="E1450" s="90"/>
      <c r="F1450" s="90"/>
      <c r="G1450" s="90"/>
      <c r="H1450" s="89"/>
      <c r="I1450" s="89"/>
      <c r="J1450" s="90">
        <f>SUM(I1451:I1454)</f>
        <v>15</v>
      </c>
      <c r="K1450" s="157">
        <v>15</v>
      </c>
      <c r="L1450" s="165">
        <v>300</v>
      </c>
      <c r="M1450" s="158">
        <f t="shared" si="207"/>
        <v>4500</v>
      </c>
      <c r="N1450" s="60"/>
      <c r="O1450" s="82">
        <f t="shared" si="240"/>
        <v>0</v>
      </c>
    </row>
    <row r="1451" spans="1:15" s="5" customFormat="1" ht="16.149999999999999" customHeight="1" x14ac:dyDescent="0.2">
      <c r="A1451" s="30"/>
      <c r="B1451" s="98" t="s">
        <v>464</v>
      </c>
      <c r="C1451" s="32"/>
      <c r="D1451" s="32">
        <v>5</v>
      </c>
      <c r="E1451" s="89"/>
      <c r="F1451" s="89"/>
      <c r="G1451" s="89"/>
      <c r="H1451" s="89">
        <f t="shared" ref="H1451:H1454" si="250">PRODUCT(D1451:G1451)</f>
        <v>5</v>
      </c>
      <c r="I1451" s="89">
        <f>H1451</f>
        <v>5</v>
      </c>
      <c r="K1451" s="157"/>
      <c r="L1451" s="157"/>
      <c r="M1451" s="158"/>
      <c r="O1451" s="82">
        <f t="shared" si="240"/>
        <v>0</v>
      </c>
    </row>
    <row r="1452" spans="1:15" s="5" customFormat="1" ht="16.149999999999999" customHeight="1" x14ac:dyDescent="0.2">
      <c r="A1452" s="30"/>
      <c r="B1452" s="98" t="s">
        <v>465</v>
      </c>
      <c r="C1452" s="32"/>
      <c r="D1452" s="32">
        <v>5</v>
      </c>
      <c r="E1452" s="89"/>
      <c r="F1452" s="89"/>
      <c r="G1452" s="89"/>
      <c r="H1452" s="89">
        <f t="shared" si="250"/>
        <v>5</v>
      </c>
      <c r="I1452" s="89">
        <f t="shared" ref="I1452:I1454" si="251">H1452</f>
        <v>5</v>
      </c>
      <c r="J1452" s="89"/>
      <c r="K1452" s="157"/>
      <c r="L1452" s="157"/>
      <c r="M1452" s="158"/>
      <c r="O1452" s="82">
        <f t="shared" si="240"/>
        <v>0</v>
      </c>
    </row>
    <row r="1453" spans="1:15" s="5" customFormat="1" ht="16.149999999999999" customHeight="1" x14ac:dyDescent="0.2">
      <c r="A1453" s="30"/>
      <c r="B1453" s="98" t="s">
        <v>466</v>
      </c>
      <c r="C1453" s="32"/>
      <c r="D1453" s="32">
        <v>4</v>
      </c>
      <c r="E1453" s="89"/>
      <c r="F1453" s="89"/>
      <c r="G1453" s="89"/>
      <c r="H1453" s="89">
        <f t="shared" si="250"/>
        <v>4</v>
      </c>
      <c r="I1453" s="89">
        <f t="shared" si="251"/>
        <v>4</v>
      </c>
      <c r="J1453" s="89"/>
      <c r="K1453" s="157"/>
      <c r="L1453" s="157"/>
      <c r="M1453" s="158"/>
      <c r="O1453" s="82">
        <f t="shared" si="240"/>
        <v>0</v>
      </c>
    </row>
    <row r="1454" spans="1:15" s="5" customFormat="1" ht="16.149999999999999" customHeight="1" x14ac:dyDescent="0.2">
      <c r="A1454" s="30"/>
      <c r="B1454" s="98" t="s">
        <v>467</v>
      </c>
      <c r="C1454" s="32"/>
      <c r="D1454" s="32">
        <v>1</v>
      </c>
      <c r="E1454" s="89"/>
      <c r="F1454" s="89"/>
      <c r="G1454" s="89"/>
      <c r="H1454" s="89">
        <f t="shared" si="250"/>
        <v>1</v>
      </c>
      <c r="I1454" s="89">
        <f t="shared" si="251"/>
        <v>1</v>
      </c>
      <c r="J1454" s="89"/>
      <c r="K1454" s="157"/>
      <c r="L1454" s="157"/>
      <c r="M1454" s="158"/>
      <c r="O1454" s="82">
        <f t="shared" si="240"/>
        <v>0</v>
      </c>
    </row>
    <row r="1455" spans="1:15" s="83" customFormat="1" ht="18" customHeight="1" x14ac:dyDescent="0.2">
      <c r="A1455" s="61"/>
      <c r="B1455" s="55"/>
      <c r="C1455" s="59"/>
      <c r="D1455" s="41"/>
      <c r="E1455" s="90"/>
      <c r="F1455" s="90"/>
      <c r="G1455" s="90"/>
      <c r="H1455" s="89"/>
      <c r="I1455" s="89"/>
      <c r="J1455" s="90"/>
      <c r="K1455" s="157"/>
      <c r="L1455" s="165"/>
      <c r="M1455" s="158"/>
      <c r="N1455" s="60"/>
      <c r="O1455" s="82">
        <f t="shared" si="240"/>
        <v>0</v>
      </c>
    </row>
    <row r="1456" spans="1:15" s="83" customFormat="1" ht="18" customHeight="1" x14ac:dyDescent="0.2">
      <c r="A1456" s="61" t="s">
        <v>38</v>
      </c>
      <c r="B1456" s="55" t="s">
        <v>357</v>
      </c>
      <c r="C1456" s="59" t="s">
        <v>76</v>
      </c>
      <c r="D1456" s="41"/>
      <c r="E1456" s="90"/>
      <c r="F1456" s="90"/>
      <c r="G1456" s="90"/>
      <c r="H1456" s="89"/>
      <c r="I1456" s="89"/>
      <c r="J1456" s="90">
        <f>SUM(I1457:I1458)</f>
        <v>3</v>
      </c>
      <c r="K1456" s="157">
        <v>3</v>
      </c>
      <c r="L1456" s="165">
        <v>700</v>
      </c>
      <c r="M1456" s="158">
        <f t="shared" si="207"/>
        <v>2100</v>
      </c>
      <c r="N1456" s="60"/>
      <c r="O1456" s="82">
        <f t="shared" si="240"/>
        <v>0</v>
      </c>
    </row>
    <row r="1457" spans="1:263" s="5" customFormat="1" ht="16.149999999999999" customHeight="1" x14ac:dyDescent="0.2">
      <c r="A1457" s="30"/>
      <c r="B1457" s="98" t="s">
        <v>465</v>
      </c>
      <c r="C1457" s="32"/>
      <c r="D1457" s="32">
        <v>1</v>
      </c>
      <c r="E1457" s="89"/>
      <c r="F1457" s="89"/>
      <c r="G1457" s="89"/>
      <c r="H1457" s="89">
        <f t="shared" si="245"/>
        <v>1</v>
      </c>
      <c r="I1457" s="89">
        <f t="shared" ref="I1457:I1460" si="252">H1457</f>
        <v>1</v>
      </c>
      <c r="J1457" s="89"/>
      <c r="K1457" s="157"/>
      <c r="L1457" s="157"/>
      <c r="M1457" s="158"/>
      <c r="O1457" s="82">
        <f t="shared" si="240"/>
        <v>0</v>
      </c>
    </row>
    <row r="1458" spans="1:263" s="5" customFormat="1" ht="16.149999999999999" customHeight="1" x14ac:dyDescent="0.2">
      <c r="A1458" s="30"/>
      <c r="B1458" s="98" t="s">
        <v>530</v>
      </c>
      <c r="C1458" s="32"/>
      <c r="D1458" s="32">
        <v>2</v>
      </c>
      <c r="E1458" s="89"/>
      <c r="F1458" s="89"/>
      <c r="G1458" s="89"/>
      <c r="H1458" s="89">
        <f t="shared" si="245"/>
        <v>2</v>
      </c>
      <c r="I1458" s="89">
        <f t="shared" si="252"/>
        <v>2</v>
      </c>
      <c r="J1458" s="89"/>
      <c r="K1458" s="157"/>
      <c r="L1458" s="157"/>
      <c r="M1458" s="158"/>
      <c r="O1458" s="82">
        <f t="shared" si="240"/>
        <v>0</v>
      </c>
    </row>
    <row r="1459" spans="1:263" s="83" customFormat="1" ht="18" customHeight="1" x14ac:dyDescent="0.2">
      <c r="A1459" s="61" t="s">
        <v>346</v>
      </c>
      <c r="B1459" s="55" t="s">
        <v>283</v>
      </c>
      <c r="C1459" s="59" t="s">
        <v>76</v>
      </c>
      <c r="D1459" s="41"/>
      <c r="E1459" s="90"/>
      <c r="F1459" s="90"/>
      <c r="G1459" s="90"/>
      <c r="H1459" s="89"/>
      <c r="I1459" s="89"/>
      <c r="J1459" s="90">
        <f>+I1460</f>
        <v>6</v>
      </c>
      <c r="K1459" s="157">
        <v>6</v>
      </c>
      <c r="L1459" s="165">
        <v>700</v>
      </c>
      <c r="M1459" s="158">
        <f t="shared" si="207"/>
        <v>4200</v>
      </c>
      <c r="N1459" s="60"/>
      <c r="O1459" s="82">
        <f t="shared" si="240"/>
        <v>0</v>
      </c>
    </row>
    <row r="1460" spans="1:263" s="5" customFormat="1" ht="16.149999999999999" customHeight="1" x14ac:dyDescent="0.2">
      <c r="A1460" s="30"/>
      <c r="B1460" s="98" t="s">
        <v>522</v>
      </c>
      <c r="C1460" s="32"/>
      <c r="D1460" s="32">
        <v>6</v>
      </c>
      <c r="E1460" s="89"/>
      <c r="F1460" s="89"/>
      <c r="G1460" s="89"/>
      <c r="H1460" s="89">
        <f t="shared" ref="H1460" si="253">PRODUCT(D1460:G1460)</f>
        <v>6</v>
      </c>
      <c r="I1460" s="89">
        <f t="shared" si="252"/>
        <v>6</v>
      </c>
      <c r="J1460" s="89"/>
      <c r="K1460" s="157"/>
      <c r="L1460" s="157"/>
      <c r="M1460" s="158"/>
      <c r="O1460" s="82">
        <f t="shared" si="240"/>
        <v>0</v>
      </c>
    </row>
    <row r="1461" spans="1:263" s="83" customFormat="1" ht="18" customHeight="1" x14ac:dyDescent="0.2">
      <c r="A1461" s="61"/>
      <c r="B1461" s="55"/>
      <c r="C1461" s="59"/>
      <c r="D1461" s="41"/>
      <c r="E1461" s="90"/>
      <c r="F1461" s="90"/>
      <c r="G1461" s="90"/>
      <c r="H1461" s="89"/>
      <c r="I1461" s="89"/>
      <c r="J1461" s="90"/>
      <c r="K1461" s="157"/>
      <c r="L1461" s="165"/>
      <c r="M1461" s="158"/>
      <c r="N1461" s="60"/>
      <c r="O1461" s="82">
        <f t="shared" si="240"/>
        <v>0</v>
      </c>
    </row>
    <row r="1462" spans="1:263" ht="18" customHeight="1" x14ac:dyDescent="0.2">
      <c r="A1462" s="30"/>
      <c r="B1462" s="31" t="s">
        <v>245</v>
      </c>
      <c r="C1462" s="32"/>
      <c r="D1462" s="32"/>
      <c r="E1462" s="89"/>
      <c r="F1462" s="89"/>
      <c r="G1462" s="89"/>
      <c r="H1462" s="89"/>
      <c r="I1462" s="89"/>
      <c r="J1462" s="89"/>
      <c r="K1462" s="157"/>
      <c r="L1462" s="157"/>
      <c r="M1462" s="158"/>
      <c r="N1462" s="34"/>
      <c r="O1462" s="82">
        <f t="shared" si="240"/>
        <v>0</v>
      </c>
    </row>
    <row r="1463" spans="1:263" ht="18" customHeight="1" x14ac:dyDescent="0.2">
      <c r="A1463" s="56" t="s">
        <v>19</v>
      </c>
      <c r="B1463" s="39" t="s">
        <v>14</v>
      </c>
      <c r="C1463" s="32" t="s">
        <v>76</v>
      </c>
      <c r="D1463" s="41">
        <v>1</v>
      </c>
      <c r="E1463" s="90"/>
      <c r="F1463" s="90"/>
      <c r="G1463" s="90"/>
      <c r="H1463" s="89">
        <f t="shared" ref="H1463" si="254">PRODUCT(D1463:G1463)</f>
        <v>1</v>
      </c>
      <c r="I1463" s="89">
        <f t="shared" ref="I1463:J1463" si="255">H1463</f>
        <v>1</v>
      </c>
      <c r="J1463" s="90">
        <f t="shared" si="255"/>
        <v>1</v>
      </c>
      <c r="K1463" s="157">
        <v>1</v>
      </c>
      <c r="L1463" s="157">
        <v>1200</v>
      </c>
      <c r="M1463" s="158">
        <f t="shared" si="207"/>
        <v>1200</v>
      </c>
      <c r="N1463" s="34"/>
      <c r="O1463" s="82">
        <f t="shared" si="240"/>
        <v>0</v>
      </c>
    </row>
    <row r="1464" spans="1:263" s="5" customFormat="1" ht="17.100000000000001" customHeight="1" x14ac:dyDescent="0.2">
      <c r="A1464" s="250" t="s">
        <v>112</v>
      </c>
      <c r="B1464" s="251"/>
      <c r="C1464" s="251"/>
      <c r="D1464" s="251"/>
      <c r="E1464" s="251"/>
      <c r="F1464" s="251"/>
      <c r="G1464" s="251"/>
      <c r="H1464" s="251"/>
      <c r="I1464" s="251"/>
      <c r="J1464" s="251"/>
      <c r="K1464" s="251"/>
      <c r="L1464" s="252"/>
      <c r="M1464" s="159">
        <f>SUM(M1322:M1463)</f>
        <v>184180</v>
      </c>
      <c r="O1464" s="82">
        <f t="shared" si="240"/>
        <v>0</v>
      </c>
    </row>
    <row r="1465" spans="1:263" ht="17.100000000000001" customHeight="1" x14ac:dyDescent="0.2">
      <c r="A1465" s="24"/>
      <c r="B1465" s="25" t="s">
        <v>44</v>
      </c>
      <c r="C1465" s="32"/>
      <c r="D1465" s="32"/>
      <c r="E1465" s="89"/>
      <c r="F1465" s="89"/>
      <c r="G1465" s="89"/>
      <c r="H1465" s="89"/>
      <c r="I1465" s="89"/>
      <c r="J1465" s="89"/>
      <c r="K1465" s="157"/>
      <c r="L1465" s="157"/>
      <c r="M1465" s="158"/>
      <c r="O1465" s="82">
        <f t="shared" si="240"/>
        <v>0</v>
      </c>
    </row>
    <row r="1466" spans="1:263" ht="17.100000000000001" customHeight="1" x14ac:dyDescent="0.2">
      <c r="A1466" s="56"/>
      <c r="B1466" s="31" t="s">
        <v>20</v>
      </c>
      <c r="C1466" s="32"/>
      <c r="D1466" s="32"/>
      <c r="E1466" s="89"/>
      <c r="F1466" s="89"/>
      <c r="G1466" s="89"/>
      <c r="H1466" s="89"/>
      <c r="I1466" s="89"/>
      <c r="J1466" s="89"/>
      <c r="K1466" s="157"/>
      <c r="L1466" s="157"/>
      <c r="M1466" s="158"/>
      <c r="O1466" s="82">
        <f t="shared" si="240"/>
        <v>0</v>
      </c>
    </row>
    <row r="1467" spans="1:263" s="114" customFormat="1" ht="17.100000000000001" customHeight="1" x14ac:dyDescent="0.2">
      <c r="A1467" s="121" t="s">
        <v>21</v>
      </c>
      <c r="B1467" s="125" t="s">
        <v>284</v>
      </c>
      <c r="C1467" s="101" t="s">
        <v>76</v>
      </c>
      <c r="D1467" s="123">
        <v>1</v>
      </c>
      <c r="E1467" s="124"/>
      <c r="F1467" s="124"/>
      <c r="G1467" s="124"/>
      <c r="H1467" s="102">
        <f t="shared" ref="H1467:H1468" si="256">PRODUCT(D1467:G1467)</f>
        <v>1</v>
      </c>
      <c r="I1467" s="102">
        <f t="shared" ref="I1467:J1474" si="257">H1467</f>
        <v>1</v>
      </c>
      <c r="J1467" s="124">
        <f t="shared" si="257"/>
        <v>1</v>
      </c>
      <c r="K1467" s="157">
        <v>1</v>
      </c>
      <c r="L1467" s="157">
        <v>40000</v>
      </c>
      <c r="M1467" s="158">
        <f t="shared" ref="M1467:M1532" si="258">+L1467*K1467</f>
        <v>40000</v>
      </c>
      <c r="N1467" s="104"/>
      <c r="O1467" s="82">
        <f t="shared" si="240"/>
        <v>0</v>
      </c>
      <c r="P1467" s="104"/>
      <c r="Q1467" s="104"/>
      <c r="R1467" s="104"/>
      <c r="S1467" s="104"/>
      <c r="T1467" s="104"/>
      <c r="U1467" s="104"/>
      <c r="V1467" s="104"/>
      <c r="W1467" s="104"/>
      <c r="X1467" s="104"/>
      <c r="Y1467" s="104"/>
      <c r="Z1467" s="104"/>
      <c r="AA1467" s="104"/>
      <c r="AB1467" s="104"/>
      <c r="AC1467" s="104"/>
      <c r="AD1467" s="104"/>
      <c r="AE1467" s="104"/>
      <c r="AF1467" s="104"/>
      <c r="AG1467" s="104"/>
      <c r="AH1467" s="104"/>
      <c r="AI1467" s="104"/>
      <c r="AJ1467" s="104"/>
      <c r="AK1467" s="104"/>
      <c r="AL1467" s="104"/>
      <c r="AM1467" s="104"/>
      <c r="AN1467" s="104"/>
      <c r="AO1467" s="104"/>
      <c r="AP1467" s="104"/>
      <c r="AQ1467" s="104"/>
      <c r="AR1467" s="104"/>
      <c r="AS1467" s="104"/>
      <c r="AT1467" s="104"/>
      <c r="AU1467" s="104"/>
      <c r="AV1467" s="104"/>
      <c r="AW1467" s="104"/>
      <c r="AX1467" s="104"/>
      <c r="AY1467" s="104"/>
      <c r="AZ1467" s="104"/>
      <c r="BA1467" s="104"/>
      <c r="BB1467" s="104"/>
      <c r="BC1467" s="104"/>
      <c r="BD1467" s="104"/>
      <c r="BE1467" s="104"/>
      <c r="BF1467" s="104"/>
      <c r="BG1467" s="104"/>
      <c r="BH1467" s="104"/>
      <c r="BI1467" s="104"/>
      <c r="BJ1467" s="104"/>
      <c r="BK1467" s="104"/>
      <c r="BL1467" s="104"/>
      <c r="BM1467" s="104"/>
      <c r="BN1467" s="104"/>
      <c r="BO1467" s="104"/>
      <c r="BP1467" s="104"/>
      <c r="BQ1467" s="104"/>
      <c r="BR1467" s="104"/>
      <c r="BS1467" s="104"/>
      <c r="BT1467" s="104"/>
      <c r="BU1467" s="104"/>
      <c r="BV1467" s="104"/>
      <c r="BW1467" s="104"/>
      <c r="BX1467" s="104"/>
      <c r="BY1467" s="104"/>
      <c r="BZ1467" s="104"/>
      <c r="CA1467" s="104"/>
      <c r="CB1467" s="104"/>
      <c r="CC1467" s="104"/>
      <c r="CD1467" s="104"/>
      <c r="CE1467" s="104"/>
      <c r="CF1467" s="104"/>
      <c r="CG1467" s="104"/>
      <c r="CH1467" s="104"/>
      <c r="CI1467" s="104"/>
      <c r="CJ1467" s="104"/>
      <c r="CK1467" s="104"/>
      <c r="CL1467" s="104"/>
      <c r="CM1467" s="104"/>
      <c r="CN1467" s="104"/>
      <c r="CO1467" s="104"/>
      <c r="CP1467" s="104"/>
      <c r="CQ1467" s="104"/>
      <c r="CR1467" s="104"/>
      <c r="CS1467" s="104"/>
      <c r="CT1467" s="104"/>
      <c r="CU1467" s="104"/>
      <c r="CV1467" s="104"/>
      <c r="CW1467" s="104"/>
      <c r="CX1467" s="104"/>
      <c r="CY1467" s="104"/>
      <c r="CZ1467" s="104"/>
      <c r="DA1467" s="104"/>
      <c r="DB1467" s="104"/>
      <c r="DC1467" s="104"/>
      <c r="DD1467" s="104"/>
      <c r="DE1467" s="104"/>
      <c r="DF1467" s="104"/>
      <c r="DG1467" s="104"/>
      <c r="DH1467" s="104"/>
      <c r="DI1467" s="104"/>
      <c r="DJ1467" s="104"/>
      <c r="DK1467" s="104"/>
      <c r="DL1467" s="104"/>
      <c r="DM1467" s="104"/>
      <c r="DN1467" s="104"/>
      <c r="DO1467" s="104"/>
      <c r="DP1467" s="104"/>
      <c r="DQ1467" s="104"/>
      <c r="DR1467" s="104"/>
      <c r="DS1467" s="104"/>
      <c r="DT1467" s="104"/>
      <c r="DU1467" s="104"/>
      <c r="DV1467" s="104"/>
      <c r="DW1467" s="104"/>
      <c r="DX1467" s="104"/>
      <c r="DY1467" s="104"/>
      <c r="DZ1467" s="104"/>
      <c r="EA1467" s="104"/>
      <c r="EB1467" s="104"/>
      <c r="EC1467" s="104"/>
      <c r="ED1467" s="104"/>
      <c r="EE1467" s="104"/>
      <c r="EF1467" s="104"/>
      <c r="EG1467" s="104"/>
      <c r="EH1467" s="104"/>
      <c r="EI1467" s="104"/>
      <c r="EJ1467" s="104"/>
      <c r="EK1467" s="104"/>
      <c r="EL1467" s="104"/>
      <c r="EM1467" s="104"/>
      <c r="EN1467" s="104"/>
      <c r="EO1467" s="104"/>
      <c r="EP1467" s="104"/>
      <c r="EQ1467" s="104"/>
      <c r="ER1467" s="104"/>
      <c r="ES1467" s="104"/>
      <c r="ET1467" s="104"/>
      <c r="EU1467" s="104"/>
      <c r="EV1467" s="104"/>
      <c r="EW1467" s="104"/>
      <c r="EX1467" s="104"/>
      <c r="EY1467" s="104"/>
      <c r="EZ1467" s="104"/>
      <c r="FA1467" s="104"/>
      <c r="FB1467" s="104"/>
      <c r="FC1467" s="104"/>
      <c r="FD1467" s="104"/>
      <c r="FE1467" s="104"/>
      <c r="FF1467" s="104"/>
      <c r="FG1467" s="104"/>
      <c r="FH1467" s="104"/>
      <c r="FI1467" s="104"/>
      <c r="FJ1467" s="104"/>
      <c r="FK1467" s="104"/>
      <c r="FL1467" s="104"/>
      <c r="FM1467" s="104"/>
      <c r="FN1467" s="104"/>
      <c r="FO1467" s="104"/>
      <c r="FP1467" s="104"/>
      <c r="FQ1467" s="104"/>
      <c r="FR1467" s="104"/>
      <c r="FS1467" s="104"/>
      <c r="FT1467" s="104"/>
      <c r="FU1467" s="104"/>
      <c r="FV1467" s="104"/>
      <c r="FW1467" s="104"/>
      <c r="FX1467" s="104"/>
      <c r="FY1467" s="104"/>
      <c r="FZ1467" s="104"/>
      <c r="GA1467" s="104"/>
      <c r="GB1467" s="104"/>
      <c r="GC1467" s="104"/>
      <c r="GD1467" s="104"/>
      <c r="GE1467" s="104"/>
      <c r="GF1467" s="104"/>
      <c r="GG1467" s="104"/>
      <c r="GH1467" s="104"/>
      <c r="GI1467" s="104"/>
      <c r="GJ1467" s="104"/>
      <c r="GK1467" s="104"/>
      <c r="GL1467" s="104"/>
      <c r="GM1467" s="104"/>
      <c r="GN1467" s="104"/>
      <c r="GO1467" s="104"/>
      <c r="GP1467" s="104"/>
      <c r="GQ1467" s="104"/>
      <c r="GR1467" s="104"/>
      <c r="GS1467" s="104"/>
      <c r="GT1467" s="104"/>
      <c r="GU1467" s="104"/>
      <c r="GV1467" s="104"/>
      <c r="GW1467" s="104"/>
      <c r="GX1467" s="104"/>
      <c r="GY1467" s="104"/>
      <c r="GZ1467" s="104"/>
      <c r="HA1467" s="104"/>
      <c r="HB1467" s="104"/>
      <c r="HC1467" s="104"/>
      <c r="HD1467" s="104"/>
      <c r="HE1467" s="104"/>
      <c r="HF1467" s="104"/>
      <c r="HG1467" s="104"/>
      <c r="HH1467" s="104"/>
      <c r="HI1467" s="104"/>
      <c r="HJ1467" s="104"/>
      <c r="HK1467" s="104"/>
      <c r="HL1467" s="104"/>
      <c r="HM1467" s="104"/>
      <c r="HN1467" s="104"/>
      <c r="HO1467" s="104"/>
      <c r="HP1467" s="104"/>
      <c r="HQ1467" s="104"/>
      <c r="HR1467" s="104"/>
      <c r="HS1467" s="104"/>
      <c r="HT1467" s="104"/>
      <c r="HU1467" s="104"/>
      <c r="HV1467" s="104"/>
      <c r="HW1467" s="104"/>
      <c r="HX1467" s="104"/>
      <c r="HY1467" s="104"/>
      <c r="HZ1467" s="104"/>
      <c r="IA1467" s="104"/>
      <c r="IB1467" s="104"/>
      <c r="IC1467" s="104"/>
      <c r="ID1467" s="104"/>
      <c r="IE1467" s="104"/>
      <c r="IF1467" s="104"/>
      <c r="IG1467" s="104"/>
      <c r="IH1467" s="104"/>
      <c r="II1467" s="104"/>
      <c r="IJ1467" s="104"/>
      <c r="IK1467" s="104"/>
      <c r="IL1467" s="104"/>
      <c r="IM1467" s="104"/>
      <c r="IN1467" s="104"/>
      <c r="IO1467" s="104"/>
      <c r="IP1467" s="104"/>
      <c r="IQ1467" s="104"/>
      <c r="IR1467" s="104"/>
      <c r="IS1467" s="104"/>
      <c r="IT1467" s="104"/>
      <c r="IU1467" s="104"/>
      <c r="IV1467" s="104"/>
      <c r="IW1467" s="104"/>
      <c r="IX1467" s="104"/>
      <c r="IY1467" s="104"/>
      <c r="IZ1467" s="104"/>
      <c r="JA1467" s="104"/>
      <c r="JB1467" s="104"/>
      <c r="JC1467" s="104"/>
    </row>
    <row r="1468" spans="1:263" s="126" customFormat="1" x14ac:dyDescent="0.2">
      <c r="A1468" s="121" t="s">
        <v>22</v>
      </c>
      <c r="B1468" s="125" t="s">
        <v>378</v>
      </c>
      <c r="C1468" s="101" t="s">
        <v>76</v>
      </c>
      <c r="D1468" s="123">
        <v>1</v>
      </c>
      <c r="E1468" s="124"/>
      <c r="F1468" s="124"/>
      <c r="G1468" s="124"/>
      <c r="H1468" s="102">
        <f t="shared" si="256"/>
        <v>1</v>
      </c>
      <c r="I1468" s="102">
        <f t="shared" si="257"/>
        <v>1</v>
      </c>
      <c r="J1468" s="124">
        <f t="shared" si="257"/>
        <v>1</v>
      </c>
      <c r="K1468" s="157">
        <v>1</v>
      </c>
      <c r="L1468" s="157">
        <v>5100</v>
      </c>
      <c r="M1468" s="158">
        <f t="shared" si="258"/>
        <v>5100</v>
      </c>
      <c r="N1468" s="104"/>
      <c r="O1468" s="82">
        <f t="shared" si="240"/>
        <v>0</v>
      </c>
    </row>
    <row r="1469" spans="1:263" s="14" customFormat="1" ht="24" x14ac:dyDescent="0.2">
      <c r="A1469" s="56" t="s">
        <v>23</v>
      </c>
      <c r="B1469" s="47" t="s">
        <v>446</v>
      </c>
      <c r="C1469" s="32" t="s">
        <v>1</v>
      </c>
      <c r="D1469" s="41"/>
      <c r="E1469" s="90"/>
      <c r="F1469" s="90"/>
      <c r="G1469" s="90"/>
      <c r="H1469" s="89">
        <f>PRODUCT(D1469:G1469)</f>
        <v>0</v>
      </c>
      <c r="I1469" s="89">
        <f t="shared" si="257"/>
        <v>0</v>
      </c>
      <c r="J1469" s="90">
        <f>SUM(I1470:I1472)</f>
        <v>144</v>
      </c>
      <c r="K1469" s="157">
        <v>150</v>
      </c>
      <c r="L1469" s="157">
        <v>65</v>
      </c>
      <c r="M1469" s="158">
        <f>+L1469*K1469</f>
        <v>9750</v>
      </c>
      <c r="N1469" s="5"/>
      <c r="O1469" s="82">
        <f t="shared" si="240"/>
        <v>6</v>
      </c>
    </row>
    <row r="1470" spans="1:263" s="5" customFormat="1" ht="16.149999999999999" customHeight="1" x14ac:dyDescent="0.2">
      <c r="A1470" s="30"/>
      <c r="B1470" s="98" t="s">
        <v>465</v>
      </c>
      <c r="C1470" s="32"/>
      <c r="D1470" s="32">
        <v>1</v>
      </c>
      <c r="E1470" s="89">
        <f>8+30</f>
        <v>38</v>
      </c>
      <c r="F1470" s="89"/>
      <c r="G1470" s="89"/>
      <c r="H1470" s="89">
        <f t="shared" ref="H1470:H1474" si="259">PRODUCT(D1470:G1470)</f>
        <v>38</v>
      </c>
      <c r="I1470" s="89">
        <f t="shared" si="257"/>
        <v>38</v>
      </c>
      <c r="J1470" s="89"/>
      <c r="K1470" s="157"/>
      <c r="L1470" s="157"/>
      <c r="M1470" s="158"/>
      <c r="O1470" s="82">
        <f t="shared" si="240"/>
        <v>0</v>
      </c>
    </row>
    <row r="1471" spans="1:263" s="5" customFormat="1" ht="16.149999999999999" customHeight="1" x14ac:dyDescent="0.2">
      <c r="A1471" s="30"/>
      <c r="B1471" s="98" t="s">
        <v>530</v>
      </c>
      <c r="C1471" s="32"/>
      <c r="D1471" s="32">
        <v>1</v>
      </c>
      <c r="E1471" s="89">
        <v>66</v>
      </c>
      <c r="F1471" s="89"/>
      <c r="G1471" s="89"/>
      <c r="H1471" s="89">
        <f t="shared" si="259"/>
        <v>66</v>
      </c>
      <c r="I1471" s="89">
        <f t="shared" si="257"/>
        <v>66</v>
      </c>
      <c r="J1471" s="89"/>
      <c r="K1471" s="157"/>
      <c r="L1471" s="157"/>
      <c r="M1471" s="158"/>
      <c r="O1471" s="82">
        <f t="shared" si="240"/>
        <v>0</v>
      </c>
    </row>
    <row r="1472" spans="1:263" s="5" customFormat="1" ht="16.149999999999999" customHeight="1" x14ac:dyDescent="0.2">
      <c r="A1472" s="30"/>
      <c r="B1472" s="98" t="s">
        <v>466</v>
      </c>
      <c r="C1472" s="32"/>
      <c r="D1472" s="32">
        <v>1</v>
      </c>
      <c r="E1472" s="89">
        <v>40</v>
      </c>
      <c r="F1472" s="89"/>
      <c r="G1472" s="89"/>
      <c r="H1472" s="89">
        <f t="shared" si="259"/>
        <v>40</v>
      </c>
      <c r="I1472" s="89">
        <f t="shared" si="257"/>
        <v>40</v>
      </c>
      <c r="J1472" s="89"/>
      <c r="K1472" s="157"/>
      <c r="L1472" s="157"/>
      <c r="M1472" s="158"/>
      <c r="O1472" s="82">
        <f t="shared" si="240"/>
        <v>0</v>
      </c>
    </row>
    <row r="1473" spans="1:15" x14ac:dyDescent="0.2">
      <c r="A1473" s="56" t="s">
        <v>24</v>
      </c>
      <c r="B1473" s="39" t="s">
        <v>135</v>
      </c>
      <c r="C1473" s="32" t="s">
        <v>76</v>
      </c>
      <c r="D1473" s="41">
        <v>4</v>
      </c>
      <c r="E1473" s="90"/>
      <c r="F1473" s="90"/>
      <c r="G1473" s="90"/>
      <c r="H1473" s="89">
        <f t="shared" si="259"/>
        <v>4</v>
      </c>
      <c r="I1473" s="89">
        <f t="shared" si="257"/>
        <v>4</v>
      </c>
      <c r="J1473" s="90">
        <f t="shared" si="257"/>
        <v>4</v>
      </c>
      <c r="K1473" s="157">
        <v>4</v>
      </c>
      <c r="L1473" s="157">
        <v>300</v>
      </c>
      <c r="M1473" s="158">
        <f t="shared" si="258"/>
        <v>1200</v>
      </c>
      <c r="O1473" s="82">
        <f t="shared" si="240"/>
        <v>0</v>
      </c>
    </row>
    <row r="1474" spans="1:15" x14ac:dyDescent="0.2">
      <c r="A1474" s="56" t="s">
        <v>408</v>
      </c>
      <c r="B1474" s="39" t="s">
        <v>134</v>
      </c>
      <c r="C1474" s="32" t="s">
        <v>76</v>
      </c>
      <c r="D1474" s="41">
        <v>4</v>
      </c>
      <c r="E1474" s="90"/>
      <c r="F1474" s="90"/>
      <c r="G1474" s="90"/>
      <c r="H1474" s="89">
        <f t="shared" si="259"/>
        <v>4</v>
      </c>
      <c r="I1474" s="89">
        <f t="shared" si="257"/>
        <v>4</v>
      </c>
      <c r="J1474" s="90">
        <f t="shared" si="257"/>
        <v>4</v>
      </c>
      <c r="K1474" s="157">
        <v>4</v>
      </c>
      <c r="L1474" s="157">
        <v>150</v>
      </c>
      <c r="M1474" s="158">
        <f t="shared" si="258"/>
        <v>600</v>
      </c>
      <c r="O1474" s="82">
        <f t="shared" si="240"/>
        <v>0</v>
      </c>
    </row>
    <row r="1475" spans="1:15" x14ac:dyDescent="0.2">
      <c r="A1475" s="56"/>
      <c r="B1475" s="31" t="s">
        <v>285</v>
      </c>
      <c r="C1475" s="32"/>
      <c r="D1475" s="32"/>
      <c r="E1475" s="89"/>
      <c r="F1475" s="89"/>
      <c r="G1475" s="89"/>
      <c r="H1475" s="89"/>
      <c r="I1475" s="89"/>
      <c r="J1475" s="89"/>
      <c r="K1475" s="157"/>
      <c r="L1475" s="157"/>
      <c r="M1475" s="158">
        <f t="shared" si="258"/>
        <v>0</v>
      </c>
      <c r="O1475" s="82">
        <f t="shared" si="240"/>
        <v>0</v>
      </c>
    </row>
    <row r="1476" spans="1:15" s="14" customFormat="1" ht="17.25" customHeight="1" x14ac:dyDescent="0.25">
      <c r="A1476" s="56" t="s">
        <v>25</v>
      </c>
      <c r="B1476" s="47" t="s">
        <v>524</v>
      </c>
      <c r="C1476" s="11"/>
      <c r="D1476" s="86"/>
      <c r="E1476" s="91"/>
      <c r="F1476" s="91"/>
      <c r="G1476" s="91"/>
      <c r="H1476" s="91"/>
      <c r="I1476" s="91"/>
      <c r="J1476" s="91"/>
      <c r="K1476" s="157"/>
      <c r="L1476" s="157"/>
      <c r="M1476" s="158">
        <f t="shared" si="258"/>
        <v>0</v>
      </c>
      <c r="N1476" s="5"/>
      <c r="O1476" s="82">
        <f t="shared" si="240"/>
        <v>0</v>
      </c>
    </row>
    <row r="1477" spans="1:15" s="14" customFormat="1" ht="15" x14ac:dyDescent="0.25">
      <c r="A1477" s="56"/>
      <c r="B1477" s="47" t="s">
        <v>397</v>
      </c>
      <c r="C1477" s="11" t="s">
        <v>76</v>
      </c>
      <c r="D1477" s="41">
        <f>2+3</f>
        <v>5</v>
      </c>
      <c r="E1477" s="90"/>
      <c r="F1477" s="90"/>
      <c r="G1477" s="90"/>
      <c r="H1477" s="89">
        <f t="shared" ref="H1477" si="260">PRODUCT(D1477:G1477)</f>
        <v>5</v>
      </c>
      <c r="I1477" s="89">
        <f t="shared" ref="I1477:J1480" si="261">H1477</f>
        <v>5</v>
      </c>
      <c r="J1477" s="90">
        <f t="shared" si="261"/>
        <v>5</v>
      </c>
      <c r="K1477" s="157">
        <v>5</v>
      </c>
      <c r="L1477" s="157">
        <v>600</v>
      </c>
      <c r="M1477" s="158">
        <f t="shared" si="258"/>
        <v>3000</v>
      </c>
      <c r="N1477" s="5"/>
      <c r="O1477" s="82">
        <f t="shared" si="240"/>
        <v>0</v>
      </c>
    </row>
    <row r="1478" spans="1:15" s="14" customFormat="1" ht="15" customHeight="1" x14ac:dyDescent="0.2">
      <c r="A1478" s="56"/>
      <c r="B1478" s="47" t="s">
        <v>398</v>
      </c>
      <c r="C1478" s="32" t="s">
        <v>76</v>
      </c>
      <c r="D1478" s="41">
        <v>4</v>
      </c>
      <c r="E1478" s="90"/>
      <c r="F1478" s="90"/>
      <c r="G1478" s="90"/>
      <c r="H1478" s="89">
        <f>PRODUCT(D1478:G1478)</f>
        <v>4</v>
      </c>
      <c r="I1478" s="89">
        <f t="shared" si="261"/>
        <v>4</v>
      </c>
      <c r="J1478" s="90">
        <f t="shared" si="261"/>
        <v>4</v>
      </c>
      <c r="K1478" s="157">
        <v>4</v>
      </c>
      <c r="L1478" s="157">
        <v>850</v>
      </c>
      <c r="M1478" s="158">
        <f>+L1478*K1478</f>
        <v>3400</v>
      </c>
      <c r="N1478" s="5"/>
      <c r="O1478" s="82">
        <f t="shared" si="240"/>
        <v>0</v>
      </c>
    </row>
    <row r="1479" spans="1:15" s="14" customFormat="1" ht="17.25" customHeight="1" x14ac:dyDescent="0.2">
      <c r="A1479" s="56" t="s">
        <v>25</v>
      </c>
      <c r="B1479" s="47" t="s">
        <v>523</v>
      </c>
      <c r="C1479" s="32" t="s">
        <v>76</v>
      </c>
      <c r="D1479" s="41">
        <f>5+3</f>
        <v>8</v>
      </c>
      <c r="E1479" s="90"/>
      <c r="F1479" s="90"/>
      <c r="G1479" s="90"/>
      <c r="H1479" s="89">
        <f>PRODUCT(D1479:G1479)</f>
        <v>8</v>
      </c>
      <c r="I1479" s="89">
        <f t="shared" si="261"/>
        <v>8</v>
      </c>
      <c r="J1479" s="90">
        <f t="shared" si="261"/>
        <v>8</v>
      </c>
      <c r="K1479" s="157">
        <v>8</v>
      </c>
      <c r="L1479" s="157">
        <v>850</v>
      </c>
      <c r="M1479" s="158">
        <f>+L1479*K1479</f>
        <v>6800</v>
      </c>
      <c r="N1479" s="5"/>
      <c r="O1479" s="82">
        <f t="shared" si="240"/>
        <v>0</v>
      </c>
    </row>
    <row r="1480" spans="1:15" s="126" customFormat="1" x14ac:dyDescent="0.2">
      <c r="A1480" s="121" t="s">
        <v>246</v>
      </c>
      <c r="B1480" s="112" t="s">
        <v>382</v>
      </c>
      <c r="C1480" s="101" t="s">
        <v>1</v>
      </c>
      <c r="D1480" s="123"/>
      <c r="E1480" s="124"/>
      <c r="F1480" s="124"/>
      <c r="G1480" s="124"/>
      <c r="H1480" s="102">
        <f t="shared" ref="H1480:H1483" si="262">PRODUCT(D1480:G1480)</f>
        <v>0</v>
      </c>
      <c r="I1480" s="102">
        <f t="shared" si="261"/>
        <v>0</v>
      </c>
      <c r="J1480" s="124">
        <f>SUM(I1481:I1483)</f>
        <v>146</v>
      </c>
      <c r="K1480" s="106">
        <v>200</v>
      </c>
      <c r="L1480" s="106">
        <v>70</v>
      </c>
      <c r="M1480" s="103">
        <f t="shared" si="258"/>
        <v>14000</v>
      </c>
      <c r="N1480" s="104"/>
      <c r="O1480" s="82">
        <f t="shared" si="240"/>
        <v>54</v>
      </c>
    </row>
    <row r="1481" spans="1:15" s="5" customFormat="1" ht="16.149999999999999" customHeight="1" x14ac:dyDescent="0.2">
      <c r="A1481" s="30"/>
      <c r="B1481" s="98" t="s">
        <v>465</v>
      </c>
      <c r="C1481" s="32"/>
      <c r="D1481" s="32">
        <v>6</v>
      </c>
      <c r="E1481" s="89">
        <v>3</v>
      </c>
      <c r="F1481" s="89"/>
      <c r="G1481" s="89"/>
      <c r="H1481" s="89">
        <f t="shared" si="262"/>
        <v>18</v>
      </c>
      <c r="I1481" s="89">
        <f>H1481</f>
        <v>18</v>
      </c>
      <c r="J1481" s="89"/>
      <c r="K1481" s="157"/>
      <c r="L1481" s="157"/>
      <c r="M1481" s="158"/>
      <c r="O1481" s="82">
        <f t="shared" si="240"/>
        <v>0</v>
      </c>
    </row>
    <row r="1482" spans="1:15" s="5" customFormat="1" ht="16.149999999999999" customHeight="1" x14ac:dyDescent="0.2">
      <c r="A1482" s="30"/>
      <c r="B1482" s="98" t="s">
        <v>530</v>
      </c>
      <c r="C1482" s="32"/>
      <c r="D1482" s="32">
        <v>12</v>
      </c>
      <c r="E1482" s="89">
        <v>4</v>
      </c>
      <c r="F1482" s="89"/>
      <c r="G1482" s="89"/>
      <c r="H1482" s="89">
        <f t="shared" si="262"/>
        <v>48</v>
      </c>
      <c r="I1482" s="89">
        <f t="shared" ref="I1482" si="263">H1482</f>
        <v>48</v>
      </c>
      <c r="J1482" s="89"/>
      <c r="K1482" s="157"/>
      <c r="L1482" s="157"/>
      <c r="M1482" s="158"/>
      <c r="O1482" s="82">
        <f t="shared" si="240"/>
        <v>0</v>
      </c>
    </row>
    <row r="1483" spans="1:15" s="5" customFormat="1" ht="16.149999999999999" customHeight="1" x14ac:dyDescent="0.2">
      <c r="A1483" s="30"/>
      <c r="B1483" s="98" t="s">
        <v>466</v>
      </c>
      <c r="C1483" s="32"/>
      <c r="D1483" s="32">
        <f>5*4</f>
        <v>20</v>
      </c>
      <c r="E1483" s="89">
        <v>4</v>
      </c>
      <c r="F1483" s="89"/>
      <c r="G1483" s="89"/>
      <c r="H1483" s="89">
        <f t="shared" si="262"/>
        <v>80</v>
      </c>
      <c r="I1483" s="89">
        <f>H1483</f>
        <v>80</v>
      </c>
      <c r="J1483" s="89"/>
      <c r="K1483" s="157"/>
      <c r="L1483" s="157"/>
      <c r="M1483" s="158"/>
      <c r="O1483" s="82">
        <f t="shared" ref="O1483:O1546" si="264">K1483-J1483</f>
        <v>0</v>
      </c>
    </row>
    <row r="1484" spans="1:15" s="126" customFormat="1" x14ac:dyDescent="0.2">
      <c r="A1484" s="121" t="s">
        <v>33</v>
      </c>
      <c r="B1484" s="112" t="s">
        <v>295</v>
      </c>
      <c r="C1484" s="101" t="s">
        <v>1</v>
      </c>
      <c r="D1484" s="123">
        <v>1</v>
      </c>
      <c r="E1484" s="124">
        <v>40</v>
      </c>
      <c r="F1484" s="124"/>
      <c r="G1484" s="124"/>
      <c r="H1484" s="102">
        <f>PRODUCT(D1484:G1484)</f>
        <v>40</v>
      </c>
      <c r="I1484" s="102">
        <f t="shared" ref="I1484:I1485" si="265">H1484</f>
        <v>40</v>
      </c>
      <c r="J1484" s="124">
        <f>SUM(I1484:I1484)</f>
        <v>40</v>
      </c>
      <c r="K1484" s="106">
        <v>40</v>
      </c>
      <c r="L1484" s="106">
        <v>55</v>
      </c>
      <c r="M1484" s="103">
        <f>+L1484*K1484</f>
        <v>2200</v>
      </c>
      <c r="N1484" s="104"/>
      <c r="O1484" s="82">
        <f t="shared" si="264"/>
        <v>0</v>
      </c>
    </row>
    <row r="1485" spans="1:15" s="14" customFormat="1" x14ac:dyDescent="0.2">
      <c r="A1485" s="56" t="s">
        <v>46</v>
      </c>
      <c r="B1485" s="47" t="s">
        <v>451</v>
      </c>
      <c r="C1485" s="32" t="s">
        <v>1</v>
      </c>
      <c r="D1485" s="41"/>
      <c r="E1485" s="90"/>
      <c r="F1485" s="90"/>
      <c r="G1485" s="90"/>
      <c r="H1485" s="89">
        <f>PRODUCT(D1485:G1485)</f>
        <v>0</v>
      </c>
      <c r="I1485" s="89">
        <f t="shared" si="265"/>
        <v>0</v>
      </c>
      <c r="J1485" s="90">
        <f>SUM(I1486:I1490)</f>
        <v>58.349999999999994</v>
      </c>
      <c r="K1485" s="157">
        <v>70</v>
      </c>
      <c r="L1485" s="157">
        <v>100</v>
      </c>
      <c r="M1485" s="158">
        <f>+L1485*K1485</f>
        <v>7000</v>
      </c>
      <c r="N1485" s="5"/>
      <c r="O1485" s="82">
        <f t="shared" si="264"/>
        <v>11.650000000000006</v>
      </c>
    </row>
    <row r="1486" spans="1:15" s="5" customFormat="1" ht="16.149999999999999" customHeight="1" x14ac:dyDescent="0.2">
      <c r="A1486" s="30"/>
      <c r="B1486" s="98" t="s">
        <v>464</v>
      </c>
      <c r="C1486" s="32"/>
      <c r="D1486" s="32">
        <v>3</v>
      </c>
      <c r="E1486" s="89">
        <f>3.35*2+4</f>
        <v>10.7</v>
      </c>
      <c r="F1486" s="89"/>
      <c r="G1486" s="89"/>
      <c r="H1486" s="89">
        <f t="shared" ref="H1486:H1502" si="266">PRODUCT(D1486:G1486)</f>
        <v>32.099999999999994</v>
      </c>
      <c r="I1486" s="89">
        <f>H1486</f>
        <v>32.099999999999994</v>
      </c>
      <c r="K1486" s="157"/>
      <c r="L1486" s="157"/>
      <c r="M1486" s="158"/>
      <c r="O1486" s="82">
        <f t="shared" si="264"/>
        <v>0</v>
      </c>
    </row>
    <row r="1487" spans="1:15" s="5" customFormat="1" ht="16.149999999999999" customHeight="1" x14ac:dyDescent="0.2">
      <c r="A1487" s="30"/>
      <c r="B1487" s="98" t="s">
        <v>465</v>
      </c>
      <c r="C1487" s="32"/>
      <c r="D1487" s="32">
        <v>2</v>
      </c>
      <c r="E1487" s="89">
        <f>3.35+0.4</f>
        <v>3.75</v>
      </c>
      <c r="F1487" s="89"/>
      <c r="G1487" s="89"/>
      <c r="H1487" s="89">
        <f t="shared" si="266"/>
        <v>7.5</v>
      </c>
      <c r="I1487" s="89">
        <f t="shared" ref="I1487:I1493" si="267">H1487</f>
        <v>7.5</v>
      </c>
      <c r="J1487" s="89"/>
      <c r="K1487" s="157"/>
      <c r="L1487" s="157"/>
      <c r="M1487" s="158"/>
      <c r="O1487" s="82">
        <f t="shared" si="264"/>
        <v>0</v>
      </c>
    </row>
    <row r="1488" spans="1:15" s="5" customFormat="1" ht="16.149999999999999" customHeight="1" x14ac:dyDescent="0.2">
      <c r="A1488" s="30"/>
      <c r="B1488" s="98" t="s">
        <v>530</v>
      </c>
      <c r="C1488" s="32"/>
      <c r="D1488" s="32">
        <v>2</v>
      </c>
      <c r="E1488" s="89">
        <f t="shared" ref="E1488:E1490" si="268">3.35+0.4</f>
        <v>3.75</v>
      </c>
      <c r="F1488" s="89"/>
      <c r="G1488" s="89"/>
      <c r="H1488" s="89">
        <f t="shared" si="266"/>
        <v>7.5</v>
      </c>
      <c r="I1488" s="89">
        <f t="shared" si="267"/>
        <v>7.5</v>
      </c>
      <c r="J1488" s="89"/>
      <c r="K1488" s="157"/>
      <c r="L1488" s="157"/>
      <c r="M1488" s="158"/>
      <c r="O1488" s="82">
        <f t="shared" si="264"/>
        <v>0</v>
      </c>
    </row>
    <row r="1489" spans="1:15" s="5" customFormat="1" ht="16.149999999999999" customHeight="1" x14ac:dyDescent="0.2">
      <c r="A1489" s="30"/>
      <c r="B1489" s="98" t="s">
        <v>466</v>
      </c>
      <c r="C1489" s="32"/>
      <c r="D1489" s="32">
        <v>2</v>
      </c>
      <c r="E1489" s="89">
        <f t="shared" si="268"/>
        <v>3.75</v>
      </c>
      <c r="F1489" s="89"/>
      <c r="G1489" s="89"/>
      <c r="H1489" s="89">
        <f t="shared" si="266"/>
        <v>7.5</v>
      </c>
      <c r="I1489" s="89">
        <f t="shared" si="267"/>
        <v>7.5</v>
      </c>
      <c r="J1489" s="89"/>
      <c r="K1489" s="157"/>
      <c r="L1489" s="157"/>
      <c r="M1489" s="158"/>
      <c r="O1489" s="82">
        <f t="shared" si="264"/>
        <v>0</v>
      </c>
    </row>
    <row r="1490" spans="1:15" s="5" customFormat="1" ht="16.149999999999999" customHeight="1" x14ac:dyDescent="0.2">
      <c r="A1490" s="30"/>
      <c r="B1490" s="98" t="s">
        <v>467</v>
      </c>
      <c r="C1490" s="32"/>
      <c r="D1490" s="32">
        <v>1</v>
      </c>
      <c r="E1490" s="89">
        <f t="shared" si="268"/>
        <v>3.75</v>
      </c>
      <c r="F1490" s="89"/>
      <c r="G1490" s="89"/>
      <c r="H1490" s="89">
        <f t="shared" si="266"/>
        <v>3.75</v>
      </c>
      <c r="I1490" s="89">
        <f t="shared" si="267"/>
        <v>3.75</v>
      </c>
      <c r="J1490" s="89"/>
      <c r="K1490" s="157"/>
      <c r="L1490" s="157"/>
      <c r="M1490" s="158"/>
      <c r="O1490" s="82">
        <f t="shared" si="264"/>
        <v>0</v>
      </c>
    </row>
    <row r="1491" spans="1:15" s="14" customFormat="1" x14ac:dyDescent="0.2">
      <c r="A1491" s="56" t="s">
        <v>69</v>
      </c>
      <c r="B1491" s="47" t="s">
        <v>85</v>
      </c>
      <c r="C1491" s="32" t="s">
        <v>76</v>
      </c>
      <c r="D1491" s="41"/>
      <c r="E1491" s="90"/>
      <c r="F1491" s="90"/>
      <c r="G1491" s="90"/>
      <c r="H1491" s="89">
        <f t="shared" si="266"/>
        <v>0</v>
      </c>
      <c r="I1491" s="89">
        <f t="shared" si="267"/>
        <v>0</v>
      </c>
      <c r="J1491" s="90">
        <f>SUM(I1492:I1494)</f>
        <v>18</v>
      </c>
      <c r="K1491" s="157">
        <v>18</v>
      </c>
      <c r="L1491" s="157">
        <v>200</v>
      </c>
      <c r="M1491" s="158">
        <f t="shared" si="258"/>
        <v>3600</v>
      </c>
      <c r="N1491" s="5"/>
      <c r="O1491" s="82">
        <f t="shared" si="264"/>
        <v>0</v>
      </c>
    </row>
    <row r="1492" spans="1:15" s="5" customFormat="1" ht="16.149999999999999" customHeight="1" x14ac:dyDescent="0.2">
      <c r="A1492" s="30"/>
      <c r="B1492" s="98" t="s">
        <v>465</v>
      </c>
      <c r="C1492" s="32"/>
      <c r="D1492" s="32">
        <v>8</v>
      </c>
      <c r="E1492" s="89"/>
      <c r="F1492" s="89"/>
      <c r="G1492" s="89"/>
      <c r="H1492" s="89">
        <f t="shared" si="266"/>
        <v>8</v>
      </c>
      <c r="I1492" s="89">
        <f>H1492</f>
        <v>8</v>
      </c>
      <c r="J1492" s="89"/>
      <c r="K1492" s="157"/>
      <c r="L1492" s="157"/>
      <c r="M1492" s="158"/>
      <c r="O1492" s="82">
        <f t="shared" si="264"/>
        <v>0</v>
      </c>
    </row>
    <row r="1493" spans="1:15" s="5" customFormat="1" ht="16.149999999999999" customHeight="1" x14ac:dyDescent="0.2">
      <c r="A1493" s="30"/>
      <c r="B1493" s="98" t="s">
        <v>530</v>
      </c>
      <c r="C1493" s="32"/>
      <c r="D1493" s="32">
        <v>6</v>
      </c>
      <c r="E1493" s="89"/>
      <c r="F1493" s="89"/>
      <c r="G1493" s="89"/>
      <c r="H1493" s="89">
        <f t="shared" ref="H1493" si="269">PRODUCT(D1493:G1493)</f>
        <v>6</v>
      </c>
      <c r="I1493" s="89">
        <f t="shared" si="267"/>
        <v>6</v>
      </c>
      <c r="J1493" s="89"/>
      <c r="K1493" s="157"/>
      <c r="L1493" s="157"/>
      <c r="M1493" s="158"/>
      <c r="O1493" s="82">
        <f t="shared" si="264"/>
        <v>0</v>
      </c>
    </row>
    <row r="1494" spans="1:15" s="5" customFormat="1" ht="16.149999999999999" customHeight="1" x14ac:dyDescent="0.2">
      <c r="A1494" s="30"/>
      <c r="B1494" s="98" t="s">
        <v>466</v>
      </c>
      <c r="C1494" s="32"/>
      <c r="D1494" s="32">
        <v>4</v>
      </c>
      <c r="E1494" s="89"/>
      <c r="F1494" s="89"/>
      <c r="G1494" s="89"/>
      <c r="H1494" s="89">
        <f t="shared" si="266"/>
        <v>4</v>
      </c>
      <c r="I1494" s="89">
        <f>H1494</f>
        <v>4</v>
      </c>
      <c r="J1494" s="89"/>
      <c r="K1494" s="157"/>
      <c r="L1494" s="157"/>
      <c r="M1494" s="158"/>
      <c r="O1494" s="82">
        <f t="shared" si="264"/>
        <v>0</v>
      </c>
    </row>
    <row r="1495" spans="1:15" s="14" customFormat="1" x14ac:dyDescent="0.2">
      <c r="A1495" s="56" t="s">
        <v>74</v>
      </c>
      <c r="B1495" s="47" t="s">
        <v>286</v>
      </c>
      <c r="C1495" s="32" t="s">
        <v>76</v>
      </c>
      <c r="D1495" s="41"/>
      <c r="E1495" s="90"/>
      <c r="F1495" s="90"/>
      <c r="G1495" s="90"/>
      <c r="H1495" s="89">
        <f t="shared" si="266"/>
        <v>0</v>
      </c>
      <c r="I1495" s="89">
        <f t="shared" ref="I1495:I1499" si="270">H1495</f>
        <v>0</v>
      </c>
      <c r="J1495" s="90">
        <f>SUM(I1496)</f>
        <v>12</v>
      </c>
      <c r="K1495" s="157">
        <v>12</v>
      </c>
      <c r="L1495" s="157">
        <v>150</v>
      </c>
      <c r="M1495" s="158">
        <f t="shared" si="258"/>
        <v>1800</v>
      </c>
      <c r="N1495" s="5"/>
      <c r="O1495" s="82">
        <f t="shared" si="264"/>
        <v>0</v>
      </c>
    </row>
    <row r="1496" spans="1:15" s="5" customFormat="1" ht="16.149999999999999" customHeight="1" x14ac:dyDescent="0.2">
      <c r="A1496" s="30"/>
      <c r="B1496" s="98" t="s">
        <v>466</v>
      </c>
      <c r="C1496" s="32"/>
      <c r="D1496" s="32">
        <v>12</v>
      </c>
      <c r="E1496" s="89"/>
      <c r="F1496" s="89"/>
      <c r="G1496" s="89"/>
      <c r="H1496" s="89">
        <f t="shared" si="266"/>
        <v>12</v>
      </c>
      <c r="I1496" s="89">
        <f t="shared" si="270"/>
        <v>12</v>
      </c>
      <c r="J1496" s="89"/>
      <c r="K1496" s="157"/>
      <c r="L1496" s="157"/>
      <c r="M1496" s="158"/>
      <c r="O1496" s="82">
        <f t="shared" si="264"/>
        <v>0</v>
      </c>
    </row>
    <row r="1497" spans="1:15" s="14" customFormat="1" x14ac:dyDescent="0.2">
      <c r="A1497" s="56" t="s">
        <v>383</v>
      </c>
      <c r="B1497" s="39" t="s">
        <v>287</v>
      </c>
      <c r="C1497" s="32" t="s">
        <v>76</v>
      </c>
      <c r="D1497" s="41"/>
      <c r="E1497" s="90"/>
      <c r="F1497" s="90"/>
      <c r="G1497" s="90"/>
      <c r="H1497" s="89">
        <f t="shared" si="266"/>
        <v>0</v>
      </c>
      <c r="I1497" s="89">
        <f t="shared" si="270"/>
        <v>0</v>
      </c>
      <c r="J1497" s="90">
        <f>SUM(I1498)</f>
        <v>4</v>
      </c>
      <c r="K1497" s="157">
        <v>4</v>
      </c>
      <c r="L1497" s="157">
        <v>200</v>
      </c>
      <c r="M1497" s="158">
        <f t="shared" si="258"/>
        <v>800</v>
      </c>
      <c r="N1497" s="5"/>
      <c r="O1497" s="82">
        <f t="shared" si="264"/>
        <v>0</v>
      </c>
    </row>
    <row r="1498" spans="1:15" s="5" customFormat="1" ht="16.149999999999999" customHeight="1" x14ac:dyDescent="0.2">
      <c r="A1498" s="30"/>
      <c r="B1498" s="98" t="s">
        <v>522</v>
      </c>
      <c r="C1498" s="32"/>
      <c r="D1498" s="32">
        <v>4</v>
      </c>
      <c r="E1498" s="89"/>
      <c r="F1498" s="89"/>
      <c r="G1498" s="89"/>
      <c r="H1498" s="89">
        <f t="shared" si="266"/>
        <v>4</v>
      </c>
      <c r="I1498" s="89">
        <f t="shared" si="270"/>
        <v>4</v>
      </c>
      <c r="J1498" s="89"/>
      <c r="K1498" s="157"/>
      <c r="L1498" s="157"/>
      <c r="M1498" s="158"/>
      <c r="O1498" s="82">
        <f t="shared" si="264"/>
        <v>0</v>
      </c>
    </row>
    <row r="1499" spans="1:15" s="14" customFormat="1" x14ac:dyDescent="0.2">
      <c r="A1499" s="56" t="s">
        <v>384</v>
      </c>
      <c r="B1499" s="46" t="s">
        <v>412</v>
      </c>
      <c r="C1499" s="32" t="s">
        <v>76</v>
      </c>
      <c r="D1499" s="41"/>
      <c r="E1499" s="90"/>
      <c r="F1499" s="90"/>
      <c r="G1499" s="90"/>
      <c r="H1499" s="89">
        <f t="shared" si="266"/>
        <v>0</v>
      </c>
      <c r="I1499" s="89">
        <f t="shared" si="270"/>
        <v>0</v>
      </c>
      <c r="J1499" s="90">
        <f>SUM(I1500:I1501)</f>
        <v>5</v>
      </c>
      <c r="K1499" s="163">
        <v>5</v>
      </c>
      <c r="L1499" s="163">
        <v>150</v>
      </c>
      <c r="M1499" s="158">
        <f t="shared" si="258"/>
        <v>750</v>
      </c>
      <c r="N1499" s="5"/>
      <c r="O1499" s="82">
        <f t="shared" si="264"/>
        <v>0</v>
      </c>
    </row>
    <row r="1500" spans="1:15" s="5" customFormat="1" ht="16.149999999999999" customHeight="1" x14ac:dyDescent="0.2">
      <c r="A1500" s="30"/>
      <c r="B1500" s="98" t="s">
        <v>465</v>
      </c>
      <c r="C1500" s="32"/>
      <c r="D1500" s="32">
        <v>2</v>
      </c>
      <c r="E1500" s="89"/>
      <c r="F1500" s="89"/>
      <c r="G1500" s="89"/>
      <c r="H1500" s="89">
        <f t="shared" si="266"/>
        <v>2</v>
      </c>
      <c r="I1500" s="89">
        <f>H1500</f>
        <v>2</v>
      </c>
      <c r="J1500" s="89"/>
      <c r="K1500" s="157"/>
      <c r="L1500" s="157"/>
      <c r="M1500" s="158"/>
      <c r="O1500" s="82">
        <f t="shared" si="264"/>
        <v>0</v>
      </c>
    </row>
    <row r="1501" spans="1:15" s="5" customFormat="1" ht="16.149999999999999" customHeight="1" x14ac:dyDescent="0.2">
      <c r="A1501" s="30"/>
      <c r="B1501" s="98" t="s">
        <v>530</v>
      </c>
      <c r="C1501" s="32"/>
      <c r="D1501" s="32">
        <v>3</v>
      </c>
      <c r="E1501" s="89"/>
      <c r="F1501" s="89"/>
      <c r="G1501" s="89"/>
      <c r="H1501" s="89">
        <f t="shared" si="266"/>
        <v>3</v>
      </c>
      <c r="I1501" s="89">
        <f t="shared" ref="I1501" si="271">H1501</f>
        <v>3</v>
      </c>
      <c r="J1501" s="89"/>
      <c r="K1501" s="157"/>
      <c r="L1501" s="157"/>
      <c r="M1501" s="158"/>
      <c r="O1501" s="82">
        <f t="shared" si="264"/>
        <v>0</v>
      </c>
    </row>
    <row r="1502" spans="1:15" s="5" customFormat="1" ht="16.149999999999999" customHeight="1" x14ac:dyDescent="0.2">
      <c r="A1502" s="30"/>
      <c r="B1502" s="98" t="s">
        <v>466</v>
      </c>
      <c r="C1502" s="32"/>
      <c r="D1502" s="32"/>
      <c r="E1502" s="89"/>
      <c r="F1502" s="89"/>
      <c r="G1502" s="89"/>
      <c r="H1502" s="89">
        <f t="shared" si="266"/>
        <v>0</v>
      </c>
      <c r="I1502" s="89">
        <f>H1502</f>
        <v>0</v>
      </c>
      <c r="J1502" s="89"/>
      <c r="K1502" s="157"/>
      <c r="L1502" s="157"/>
      <c r="M1502" s="158"/>
      <c r="O1502" s="82">
        <f t="shared" si="264"/>
        <v>0</v>
      </c>
    </row>
    <row r="1503" spans="1:15" ht="17.100000000000001" customHeight="1" x14ac:dyDescent="0.2">
      <c r="A1503" s="56"/>
      <c r="B1503" s="31" t="s">
        <v>47</v>
      </c>
      <c r="C1503" s="32"/>
      <c r="D1503" s="32"/>
      <c r="E1503" s="89"/>
      <c r="F1503" s="89"/>
      <c r="G1503" s="89"/>
      <c r="H1503" s="89"/>
      <c r="I1503" s="89"/>
      <c r="J1503" s="89"/>
      <c r="K1503" s="157"/>
      <c r="L1503" s="157"/>
      <c r="M1503" s="158">
        <f t="shared" si="258"/>
        <v>0</v>
      </c>
      <c r="O1503" s="82">
        <f t="shared" si="264"/>
        <v>0</v>
      </c>
    </row>
    <row r="1504" spans="1:15" ht="17.100000000000001" customHeight="1" x14ac:dyDescent="0.2">
      <c r="A1504" s="56" t="s">
        <v>70</v>
      </c>
      <c r="B1504" s="39" t="s">
        <v>300</v>
      </c>
      <c r="C1504" s="32" t="s">
        <v>76</v>
      </c>
      <c r="D1504" s="41"/>
      <c r="E1504" s="90"/>
      <c r="F1504" s="90"/>
      <c r="G1504" s="90"/>
      <c r="H1504" s="89">
        <f t="shared" ref="H1504:H1519" si="272">PRODUCT(D1504:G1504)</f>
        <v>0</v>
      </c>
      <c r="I1504" s="89">
        <f t="shared" ref="I1504" si="273">H1504</f>
        <v>0</v>
      </c>
      <c r="J1504" s="90">
        <f>SUM(I1505)</f>
        <v>2</v>
      </c>
      <c r="K1504" s="157">
        <v>2</v>
      </c>
      <c r="L1504" s="157">
        <v>1000</v>
      </c>
      <c r="M1504" s="158">
        <f t="shared" si="258"/>
        <v>2000</v>
      </c>
      <c r="O1504" s="82">
        <f t="shared" si="264"/>
        <v>0</v>
      </c>
    </row>
    <row r="1505" spans="1:263" s="5" customFormat="1" ht="16.149999999999999" customHeight="1" x14ac:dyDescent="0.2">
      <c r="A1505" s="30"/>
      <c r="B1505" s="98" t="s">
        <v>465</v>
      </c>
      <c r="C1505" s="32"/>
      <c r="D1505" s="32">
        <v>2</v>
      </c>
      <c r="E1505" s="89"/>
      <c r="F1505" s="89"/>
      <c r="G1505" s="89"/>
      <c r="H1505" s="89">
        <f t="shared" si="272"/>
        <v>2</v>
      </c>
      <c r="I1505" s="89">
        <f>H1505</f>
        <v>2</v>
      </c>
      <c r="J1505" s="89"/>
      <c r="K1505" s="157"/>
      <c r="L1505" s="157"/>
      <c r="M1505" s="158"/>
      <c r="O1505" s="82">
        <f t="shared" si="264"/>
        <v>0</v>
      </c>
    </row>
    <row r="1506" spans="1:263" s="5" customFormat="1" ht="16.149999999999999" customHeight="1" x14ac:dyDescent="0.2">
      <c r="A1506" s="30"/>
      <c r="B1506" s="98" t="s">
        <v>530</v>
      </c>
      <c r="C1506" s="32"/>
      <c r="D1506" s="32">
        <v>1</v>
      </c>
      <c r="E1506" s="89"/>
      <c r="F1506" s="89"/>
      <c r="G1506" s="89"/>
      <c r="H1506" s="89">
        <f t="shared" ref="H1506" si="274">PRODUCT(D1506:G1506)</f>
        <v>1</v>
      </c>
      <c r="I1506" s="89">
        <f t="shared" ref="I1506" si="275">H1506</f>
        <v>1</v>
      </c>
      <c r="J1506" s="89"/>
      <c r="K1506" s="157"/>
      <c r="L1506" s="157"/>
      <c r="M1506" s="158"/>
      <c r="O1506" s="82">
        <f t="shared" si="264"/>
        <v>0</v>
      </c>
    </row>
    <row r="1507" spans="1:263" ht="17.100000000000001" customHeight="1" x14ac:dyDescent="0.2">
      <c r="A1507" s="56" t="s">
        <v>48</v>
      </c>
      <c r="B1507" s="39" t="s">
        <v>333</v>
      </c>
      <c r="C1507" s="32" t="s">
        <v>76</v>
      </c>
      <c r="D1507" s="41"/>
      <c r="E1507" s="90"/>
      <c r="F1507" s="90"/>
      <c r="G1507" s="90"/>
      <c r="H1507" s="89">
        <f t="shared" si="272"/>
        <v>0</v>
      </c>
      <c r="I1507" s="89">
        <f t="shared" ref="I1507" si="276">H1507</f>
        <v>0</v>
      </c>
      <c r="J1507" s="90">
        <f>I1508</f>
        <v>2</v>
      </c>
      <c r="K1507" s="157">
        <v>2</v>
      </c>
      <c r="L1507" s="157">
        <v>1000</v>
      </c>
      <c r="M1507" s="158">
        <f t="shared" si="258"/>
        <v>2000</v>
      </c>
      <c r="O1507" s="82">
        <f t="shared" si="264"/>
        <v>0</v>
      </c>
    </row>
    <row r="1508" spans="1:263" s="5" customFormat="1" ht="16.149999999999999" customHeight="1" x14ac:dyDescent="0.2">
      <c r="A1508" s="30"/>
      <c r="B1508" s="98" t="s">
        <v>465</v>
      </c>
      <c r="C1508" s="32"/>
      <c r="D1508" s="32">
        <v>2</v>
      </c>
      <c r="E1508" s="89"/>
      <c r="F1508" s="89"/>
      <c r="G1508" s="89"/>
      <c r="H1508" s="89">
        <f t="shared" si="272"/>
        <v>2</v>
      </c>
      <c r="I1508" s="89">
        <f>H1508</f>
        <v>2</v>
      </c>
      <c r="J1508" s="89"/>
      <c r="K1508" s="157"/>
      <c r="L1508" s="157"/>
      <c r="M1508" s="158"/>
      <c r="O1508" s="82">
        <f t="shared" si="264"/>
        <v>0</v>
      </c>
    </row>
    <row r="1509" spans="1:263" s="5" customFormat="1" ht="16.149999999999999" customHeight="1" x14ac:dyDescent="0.2">
      <c r="A1509" s="30"/>
      <c r="B1509" s="98" t="s">
        <v>530</v>
      </c>
      <c r="C1509" s="32"/>
      <c r="D1509" s="32">
        <v>1</v>
      </c>
      <c r="E1509" s="89"/>
      <c r="F1509" s="89"/>
      <c r="G1509" s="89"/>
      <c r="H1509" s="89">
        <f t="shared" si="272"/>
        <v>1</v>
      </c>
      <c r="I1509" s="89">
        <f t="shared" ref="I1509" si="277">H1509</f>
        <v>1</v>
      </c>
      <c r="J1509" s="89"/>
      <c r="K1509" s="157"/>
      <c r="L1509" s="157"/>
      <c r="M1509" s="158"/>
      <c r="O1509" s="82">
        <f t="shared" si="264"/>
        <v>0</v>
      </c>
    </row>
    <row r="1510" spans="1:263" s="114" customFormat="1" ht="17.100000000000001" customHeight="1" x14ac:dyDescent="0.2">
      <c r="A1510" s="121" t="s">
        <v>347</v>
      </c>
      <c r="B1510" s="125" t="s">
        <v>413</v>
      </c>
      <c r="C1510" s="101" t="s">
        <v>76</v>
      </c>
      <c r="D1510" s="123"/>
      <c r="E1510" s="124"/>
      <c r="F1510" s="124"/>
      <c r="G1510" s="124"/>
      <c r="H1510" s="102">
        <f t="shared" si="272"/>
        <v>0</v>
      </c>
      <c r="I1510" s="102">
        <f t="shared" ref="I1510" si="278">H1510</f>
        <v>0</v>
      </c>
      <c r="J1510" s="90">
        <f>I1511</f>
        <v>1</v>
      </c>
      <c r="K1510" s="157">
        <v>1</v>
      </c>
      <c r="L1510" s="157">
        <v>5000</v>
      </c>
      <c r="M1510" s="158">
        <f t="shared" si="258"/>
        <v>5000</v>
      </c>
      <c r="N1510" s="104"/>
      <c r="O1510" s="82">
        <f t="shared" si="264"/>
        <v>0</v>
      </c>
      <c r="P1510" s="104"/>
      <c r="Q1510" s="104"/>
      <c r="R1510" s="104"/>
      <c r="S1510" s="104"/>
      <c r="T1510" s="104"/>
      <c r="U1510" s="104"/>
      <c r="V1510" s="104"/>
      <c r="W1510" s="104"/>
      <c r="X1510" s="104"/>
      <c r="Y1510" s="104"/>
      <c r="Z1510" s="104"/>
      <c r="AA1510" s="104"/>
      <c r="AB1510" s="104"/>
      <c r="AC1510" s="104"/>
      <c r="AD1510" s="104"/>
      <c r="AE1510" s="104"/>
      <c r="AF1510" s="104"/>
      <c r="AG1510" s="104"/>
      <c r="AH1510" s="104"/>
      <c r="AI1510" s="104"/>
      <c r="AJ1510" s="104"/>
      <c r="AK1510" s="104"/>
      <c r="AL1510" s="104"/>
      <c r="AM1510" s="104"/>
      <c r="AN1510" s="104"/>
      <c r="AO1510" s="104"/>
      <c r="AP1510" s="104"/>
      <c r="AQ1510" s="104"/>
      <c r="AR1510" s="104"/>
      <c r="AS1510" s="104"/>
      <c r="AT1510" s="104"/>
      <c r="AU1510" s="104"/>
      <c r="AV1510" s="104"/>
      <c r="AW1510" s="104"/>
      <c r="AX1510" s="104"/>
      <c r="AY1510" s="104"/>
      <c r="AZ1510" s="104"/>
      <c r="BA1510" s="104"/>
      <c r="BB1510" s="104"/>
      <c r="BC1510" s="104"/>
      <c r="BD1510" s="104"/>
      <c r="BE1510" s="104"/>
      <c r="BF1510" s="104"/>
      <c r="BG1510" s="104"/>
      <c r="BH1510" s="104"/>
      <c r="BI1510" s="104"/>
      <c r="BJ1510" s="104"/>
      <c r="BK1510" s="104"/>
      <c r="BL1510" s="104"/>
      <c r="BM1510" s="104"/>
      <c r="BN1510" s="104"/>
      <c r="BO1510" s="104"/>
      <c r="BP1510" s="104"/>
      <c r="BQ1510" s="104"/>
      <c r="BR1510" s="104"/>
      <c r="BS1510" s="104"/>
      <c r="BT1510" s="104"/>
      <c r="BU1510" s="104"/>
      <c r="BV1510" s="104"/>
      <c r="BW1510" s="104"/>
      <c r="BX1510" s="104"/>
      <c r="BY1510" s="104"/>
      <c r="BZ1510" s="104"/>
      <c r="CA1510" s="104"/>
      <c r="CB1510" s="104"/>
      <c r="CC1510" s="104"/>
      <c r="CD1510" s="104"/>
      <c r="CE1510" s="104"/>
      <c r="CF1510" s="104"/>
      <c r="CG1510" s="104"/>
      <c r="CH1510" s="104"/>
      <c r="CI1510" s="104"/>
      <c r="CJ1510" s="104"/>
      <c r="CK1510" s="104"/>
      <c r="CL1510" s="104"/>
      <c r="CM1510" s="104"/>
      <c r="CN1510" s="104"/>
      <c r="CO1510" s="104"/>
      <c r="CP1510" s="104"/>
      <c r="CQ1510" s="104"/>
      <c r="CR1510" s="104"/>
      <c r="CS1510" s="104"/>
      <c r="CT1510" s="104"/>
      <c r="CU1510" s="104"/>
      <c r="CV1510" s="104"/>
      <c r="CW1510" s="104"/>
      <c r="CX1510" s="104"/>
      <c r="CY1510" s="104"/>
      <c r="CZ1510" s="104"/>
      <c r="DA1510" s="104"/>
      <c r="DB1510" s="104"/>
      <c r="DC1510" s="104"/>
      <c r="DD1510" s="104"/>
      <c r="DE1510" s="104"/>
      <c r="DF1510" s="104"/>
      <c r="DG1510" s="104"/>
      <c r="DH1510" s="104"/>
      <c r="DI1510" s="104"/>
      <c r="DJ1510" s="104"/>
      <c r="DK1510" s="104"/>
      <c r="DL1510" s="104"/>
      <c r="DM1510" s="104"/>
      <c r="DN1510" s="104"/>
      <c r="DO1510" s="104"/>
      <c r="DP1510" s="104"/>
      <c r="DQ1510" s="104"/>
      <c r="DR1510" s="104"/>
      <c r="DS1510" s="104"/>
      <c r="DT1510" s="104"/>
      <c r="DU1510" s="104"/>
      <c r="DV1510" s="104"/>
      <c r="DW1510" s="104"/>
      <c r="DX1510" s="104"/>
      <c r="DY1510" s="104"/>
      <c r="DZ1510" s="104"/>
      <c r="EA1510" s="104"/>
      <c r="EB1510" s="104"/>
      <c r="EC1510" s="104"/>
      <c r="ED1510" s="104"/>
      <c r="EE1510" s="104"/>
      <c r="EF1510" s="104"/>
      <c r="EG1510" s="104"/>
      <c r="EH1510" s="104"/>
      <c r="EI1510" s="104"/>
      <c r="EJ1510" s="104"/>
      <c r="EK1510" s="104"/>
      <c r="EL1510" s="104"/>
      <c r="EM1510" s="104"/>
      <c r="EN1510" s="104"/>
      <c r="EO1510" s="104"/>
      <c r="EP1510" s="104"/>
      <c r="EQ1510" s="104"/>
      <c r="ER1510" s="104"/>
      <c r="ES1510" s="104"/>
      <c r="ET1510" s="104"/>
      <c r="EU1510" s="104"/>
      <c r="EV1510" s="104"/>
      <c r="EW1510" s="104"/>
      <c r="EX1510" s="104"/>
      <c r="EY1510" s="104"/>
      <c r="EZ1510" s="104"/>
      <c r="FA1510" s="104"/>
      <c r="FB1510" s="104"/>
      <c r="FC1510" s="104"/>
      <c r="FD1510" s="104"/>
      <c r="FE1510" s="104"/>
      <c r="FF1510" s="104"/>
      <c r="FG1510" s="104"/>
      <c r="FH1510" s="104"/>
      <c r="FI1510" s="104"/>
      <c r="FJ1510" s="104"/>
      <c r="FK1510" s="104"/>
      <c r="FL1510" s="104"/>
      <c r="FM1510" s="104"/>
      <c r="FN1510" s="104"/>
      <c r="FO1510" s="104"/>
      <c r="FP1510" s="104"/>
      <c r="FQ1510" s="104"/>
      <c r="FR1510" s="104"/>
      <c r="FS1510" s="104"/>
      <c r="FT1510" s="104"/>
      <c r="FU1510" s="104"/>
      <c r="FV1510" s="104"/>
      <c r="FW1510" s="104"/>
      <c r="FX1510" s="104"/>
      <c r="FY1510" s="104"/>
      <c r="FZ1510" s="104"/>
      <c r="GA1510" s="104"/>
      <c r="GB1510" s="104"/>
      <c r="GC1510" s="104"/>
      <c r="GD1510" s="104"/>
      <c r="GE1510" s="104"/>
      <c r="GF1510" s="104"/>
      <c r="GG1510" s="104"/>
      <c r="GH1510" s="104"/>
      <c r="GI1510" s="104"/>
      <c r="GJ1510" s="104"/>
      <c r="GK1510" s="104"/>
      <c r="GL1510" s="104"/>
      <c r="GM1510" s="104"/>
      <c r="GN1510" s="104"/>
      <c r="GO1510" s="104"/>
      <c r="GP1510" s="104"/>
      <c r="GQ1510" s="104"/>
      <c r="GR1510" s="104"/>
      <c r="GS1510" s="104"/>
      <c r="GT1510" s="104"/>
      <c r="GU1510" s="104"/>
      <c r="GV1510" s="104"/>
      <c r="GW1510" s="104"/>
      <c r="GX1510" s="104"/>
      <c r="GY1510" s="104"/>
      <c r="GZ1510" s="104"/>
      <c r="HA1510" s="104"/>
      <c r="HB1510" s="104"/>
      <c r="HC1510" s="104"/>
      <c r="HD1510" s="104"/>
      <c r="HE1510" s="104"/>
      <c r="HF1510" s="104"/>
      <c r="HG1510" s="104"/>
      <c r="HH1510" s="104"/>
      <c r="HI1510" s="104"/>
      <c r="HJ1510" s="104"/>
      <c r="HK1510" s="104"/>
      <c r="HL1510" s="104"/>
      <c r="HM1510" s="104"/>
      <c r="HN1510" s="104"/>
      <c r="HO1510" s="104"/>
      <c r="HP1510" s="104"/>
      <c r="HQ1510" s="104"/>
      <c r="HR1510" s="104"/>
      <c r="HS1510" s="104"/>
      <c r="HT1510" s="104"/>
      <c r="HU1510" s="104"/>
      <c r="HV1510" s="104"/>
      <c r="HW1510" s="104"/>
      <c r="HX1510" s="104"/>
      <c r="HY1510" s="104"/>
      <c r="HZ1510" s="104"/>
      <c r="IA1510" s="104"/>
      <c r="IB1510" s="104"/>
      <c r="IC1510" s="104"/>
      <c r="ID1510" s="104"/>
      <c r="IE1510" s="104"/>
      <c r="IF1510" s="104"/>
      <c r="IG1510" s="104"/>
      <c r="IH1510" s="104"/>
      <c r="II1510" s="104"/>
      <c r="IJ1510" s="104"/>
      <c r="IK1510" s="104"/>
      <c r="IL1510" s="104"/>
      <c r="IM1510" s="104"/>
      <c r="IN1510" s="104"/>
      <c r="IO1510" s="104"/>
      <c r="IP1510" s="104"/>
      <c r="IQ1510" s="104"/>
      <c r="IR1510" s="104"/>
      <c r="IS1510" s="104"/>
      <c r="IT1510" s="104"/>
      <c r="IU1510" s="104"/>
      <c r="IV1510" s="104"/>
      <c r="IW1510" s="104"/>
      <c r="IX1510" s="104"/>
      <c r="IY1510" s="104"/>
      <c r="IZ1510" s="104"/>
      <c r="JA1510" s="104"/>
      <c r="JB1510" s="104"/>
      <c r="JC1510" s="104"/>
    </row>
    <row r="1511" spans="1:263" s="5" customFormat="1" ht="16.149999999999999" customHeight="1" x14ac:dyDescent="0.2">
      <c r="A1511" s="30"/>
      <c r="B1511" s="98" t="s">
        <v>465</v>
      </c>
      <c r="C1511" s="32"/>
      <c r="D1511" s="32">
        <v>1</v>
      </c>
      <c r="E1511" s="89"/>
      <c r="F1511" s="89"/>
      <c r="G1511" s="89"/>
      <c r="H1511" s="89">
        <f t="shared" si="272"/>
        <v>1</v>
      </c>
      <c r="I1511" s="89">
        <f>H1511</f>
        <v>1</v>
      </c>
      <c r="J1511" s="89"/>
      <c r="K1511" s="157"/>
      <c r="L1511" s="157"/>
      <c r="M1511" s="158"/>
      <c r="O1511" s="82">
        <f t="shared" si="264"/>
        <v>0</v>
      </c>
    </row>
    <row r="1512" spans="1:263" ht="17.100000000000001" customHeight="1" x14ac:dyDescent="0.2">
      <c r="A1512" s="56" t="s">
        <v>49</v>
      </c>
      <c r="B1512" s="39" t="s">
        <v>0</v>
      </c>
      <c r="C1512" s="32" t="s">
        <v>76</v>
      </c>
      <c r="D1512" s="41"/>
      <c r="E1512" s="90"/>
      <c r="F1512" s="90"/>
      <c r="G1512" s="90"/>
      <c r="H1512" s="89">
        <f t="shared" si="272"/>
        <v>0</v>
      </c>
      <c r="I1512" s="89">
        <f t="shared" ref="I1512" si="279">H1512</f>
        <v>0</v>
      </c>
      <c r="J1512" s="90">
        <f>I1513</f>
        <v>2</v>
      </c>
      <c r="K1512" s="157">
        <v>2</v>
      </c>
      <c r="L1512" s="157">
        <v>1000</v>
      </c>
      <c r="M1512" s="158">
        <f t="shared" si="258"/>
        <v>2000</v>
      </c>
      <c r="O1512" s="82">
        <f t="shared" si="264"/>
        <v>0</v>
      </c>
    </row>
    <row r="1513" spans="1:263" s="5" customFormat="1" ht="16.149999999999999" customHeight="1" x14ac:dyDescent="0.2">
      <c r="A1513" s="30"/>
      <c r="B1513" s="98" t="s">
        <v>465</v>
      </c>
      <c r="C1513" s="32"/>
      <c r="D1513" s="32">
        <v>2</v>
      </c>
      <c r="E1513" s="89"/>
      <c r="F1513" s="89"/>
      <c r="G1513" s="89"/>
      <c r="H1513" s="89">
        <f t="shared" si="272"/>
        <v>2</v>
      </c>
      <c r="I1513" s="89">
        <f>H1513</f>
        <v>2</v>
      </c>
      <c r="J1513" s="89"/>
      <c r="K1513" s="157"/>
      <c r="L1513" s="157"/>
      <c r="M1513" s="158"/>
      <c r="O1513" s="82">
        <f t="shared" si="264"/>
        <v>0</v>
      </c>
    </row>
    <row r="1514" spans="1:263" s="5" customFormat="1" ht="16.149999999999999" customHeight="1" x14ac:dyDescent="0.2">
      <c r="A1514" s="30"/>
      <c r="B1514" s="98" t="s">
        <v>530</v>
      </c>
      <c r="C1514" s="32"/>
      <c r="D1514" s="32">
        <v>2</v>
      </c>
      <c r="E1514" s="89"/>
      <c r="F1514" s="89"/>
      <c r="G1514" s="89"/>
      <c r="H1514" s="89">
        <f t="shared" ref="H1514" si="280">PRODUCT(D1514:G1514)</f>
        <v>2</v>
      </c>
      <c r="I1514" s="89">
        <f t="shared" ref="I1514" si="281">H1514</f>
        <v>2</v>
      </c>
      <c r="J1514" s="89"/>
      <c r="K1514" s="157"/>
      <c r="L1514" s="157"/>
      <c r="M1514" s="158"/>
      <c r="O1514" s="82">
        <f t="shared" si="264"/>
        <v>0</v>
      </c>
    </row>
    <row r="1515" spans="1:263" ht="17.100000000000001" customHeight="1" x14ac:dyDescent="0.2">
      <c r="A1515" s="56" t="s">
        <v>50</v>
      </c>
      <c r="B1515" s="39" t="s">
        <v>28</v>
      </c>
      <c r="C1515" s="32" t="s">
        <v>76</v>
      </c>
      <c r="D1515" s="41"/>
      <c r="E1515" s="90"/>
      <c r="F1515" s="90"/>
      <c r="G1515" s="90"/>
      <c r="H1515" s="89">
        <f t="shared" si="272"/>
        <v>0</v>
      </c>
      <c r="I1515" s="89">
        <f t="shared" ref="I1515" si="282">H1515</f>
        <v>0</v>
      </c>
      <c r="J1515" s="90">
        <f>I1516</f>
        <v>12</v>
      </c>
      <c r="K1515" s="157">
        <v>12</v>
      </c>
      <c r="L1515" s="157">
        <v>800</v>
      </c>
      <c r="M1515" s="158">
        <f t="shared" si="258"/>
        <v>9600</v>
      </c>
      <c r="O1515" s="82">
        <f t="shared" si="264"/>
        <v>0</v>
      </c>
    </row>
    <row r="1516" spans="1:263" s="5" customFormat="1" ht="16.149999999999999" customHeight="1" x14ac:dyDescent="0.2">
      <c r="A1516" s="30"/>
      <c r="B1516" s="98" t="s">
        <v>466</v>
      </c>
      <c r="C1516" s="32"/>
      <c r="D1516" s="32">
        <v>12</v>
      </c>
      <c r="E1516" s="89"/>
      <c r="F1516" s="89"/>
      <c r="G1516" s="89"/>
      <c r="H1516" s="89">
        <f t="shared" si="272"/>
        <v>12</v>
      </c>
      <c r="I1516" s="89">
        <f>H1516</f>
        <v>12</v>
      </c>
      <c r="J1516" s="89"/>
      <c r="K1516" s="157"/>
      <c r="L1516" s="157"/>
      <c r="M1516" s="158"/>
      <c r="O1516" s="82">
        <f t="shared" si="264"/>
        <v>0</v>
      </c>
    </row>
    <row r="1517" spans="1:263" ht="17.100000000000001" customHeight="1" x14ac:dyDescent="0.2">
      <c r="A1517" s="56" t="s">
        <v>48</v>
      </c>
      <c r="B1517" s="39" t="s">
        <v>53</v>
      </c>
      <c r="C1517" s="32" t="s">
        <v>76</v>
      </c>
      <c r="D1517" s="41"/>
      <c r="E1517" s="90"/>
      <c r="F1517" s="90"/>
      <c r="G1517" s="90"/>
      <c r="H1517" s="89">
        <f t="shared" ref="H1517:H1518" si="283">PRODUCT(D1517:G1517)</f>
        <v>0</v>
      </c>
      <c r="I1517" s="89">
        <f t="shared" ref="I1517" si="284">H1517</f>
        <v>0</v>
      </c>
      <c r="J1517" s="90">
        <f>SUM(I1517:I1518)</f>
        <v>1</v>
      </c>
      <c r="K1517" s="157">
        <v>1</v>
      </c>
      <c r="L1517" s="157">
        <v>1000</v>
      </c>
      <c r="M1517" s="158">
        <f t="shared" ref="M1517" si="285">+L1517*K1517</f>
        <v>1000</v>
      </c>
      <c r="O1517" s="82">
        <f t="shared" si="264"/>
        <v>0</v>
      </c>
    </row>
    <row r="1518" spans="1:263" s="5" customFormat="1" ht="16.149999999999999" customHeight="1" x14ac:dyDescent="0.2">
      <c r="A1518" s="30"/>
      <c r="B1518" s="98" t="s">
        <v>530</v>
      </c>
      <c r="C1518" s="32"/>
      <c r="D1518" s="32">
        <v>1</v>
      </c>
      <c r="E1518" s="89"/>
      <c r="F1518" s="89"/>
      <c r="G1518" s="89"/>
      <c r="H1518" s="89">
        <f t="shared" si="283"/>
        <v>1</v>
      </c>
      <c r="I1518" s="89">
        <f t="shared" ref="I1518" si="286">H1518</f>
        <v>1</v>
      </c>
      <c r="J1518" s="89"/>
      <c r="K1518" s="157"/>
      <c r="L1518" s="157"/>
      <c r="M1518" s="158"/>
      <c r="O1518" s="82">
        <f t="shared" si="264"/>
        <v>0</v>
      </c>
    </row>
    <row r="1519" spans="1:263" ht="17.100000000000001" customHeight="1" x14ac:dyDescent="0.2">
      <c r="A1519" s="56" t="s">
        <v>39</v>
      </c>
      <c r="B1519" s="39" t="s">
        <v>94</v>
      </c>
      <c r="C1519" s="32" t="s">
        <v>76</v>
      </c>
      <c r="D1519" s="41"/>
      <c r="E1519" s="90"/>
      <c r="F1519" s="90"/>
      <c r="G1519" s="90"/>
      <c r="H1519" s="89">
        <f t="shared" si="272"/>
        <v>0</v>
      </c>
      <c r="I1519" s="89">
        <f t="shared" ref="I1519" si="287">H1519</f>
        <v>0</v>
      </c>
      <c r="J1519" s="90">
        <f>SUM(I1520)</f>
        <v>8</v>
      </c>
      <c r="K1519" s="157">
        <v>8</v>
      </c>
      <c r="L1519" s="157">
        <v>1000</v>
      </c>
      <c r="M1519" s="158">
        <f t="shared" si="258"/>
        <v>8000</v>
      </c>
      <c r="O1519" s="82">
        <f t="shared" si="264"/>
        <v>0</v>
      </c>
    </row>
    <row r="1520" spans="1:263" s="5" customFormat="1" ht="16.149999999999999" customHeight="1" x14ac:dyDescent="0.2">
      <c r="A1520" s="30"/>
      <c r="B1520" s="98" t="s">
        <v>466</v>
      </c>
      <c r="C1520" s="32"/>
      <c r="D1520" s="32">
        <v>8</v>
      </c>
      <c r="E1520" s="89"/>
      <c r="F1520" s="89"/>
      <c r="G1520" s="89"/>
      <c r="H1520" s="89">
        <f t="shared" ref="H1520" si="288">PRODUCT(D1520:G1520)</f>
        <v>8</v>
      </c>
      <c r="I1520" s="89">
        <f>H1520</f>
        <v>8</v>
      </c>
      <c r="J1520" s="89"/>
      <c r="K1520" s="157"/>
      <c r="L1520" s="157"/>
      <c r="M1520" s="158"/>
      <c r="O1520" s="82">
        <f t="shared" si="264"/>
        <v>0</v>
      </c>
    </row>
    <row r="1521" spans="1:15" ht="17.100000000000001" customHeight="1" x14ac:dyDescent="0.2">
      <c r="A1521" s="56" t="s">
        <v>71</v>
      </c>
      <c r="B1521" s="39" t="s">
        <v>525</v>
      </c>
      <c r="C1521" s="32" t="s">
        <v>76</v>
      </c>
      <c r="D1521" s="41"/>
      <c r="E1521" s="90"/>
      <c r="F1521" s="90"/>
      <c r="G1521" s="90"/>
      <c r="H1521" s="89">
        <f>PRODUCT(D1521:G1521)</f>
        <v>0</v>
      </c>
      <c r="I1521" s="89">
        <f t="shared" ref="I1521" si="289">H1521</f>
        <v>0</v>
      </c>
      <c r="J1521" s="90">
        <f>SUM(I1522:I1523)</f>
        <v>2</v>
      </c>
      <c r="K1521" s="157">
        <v>2</v>
      </c>
      <c r="L1521" s="157">
        <v>15000</v>
      </c>
      <c r="M1521" s="158">
        <f>+L1521*K1521</f>
        <v>30000</v>
      </c>
      <c r="O1521" s="82">
        <f t="shared" si="264"/>
        <v>0</v>
      </c>
    </row>
    <row r="1522" spans="1:15" s="5" customFormat="1" ht="16.149999999999999" customHeight="1" x14ac:dyDescent="0.2">
      <c r="A1522" s="30"/>
      <c r="B1522" s="98" t="s">
        <v>465</v>
      </c>
      <c r="C1522" s="32"/>
      <c r="D1522" s="32">
        <v>1</v>
      </c>
      <c r="E1522" s="89"/>
      <c r="F1522" s="89"/>
      <c r="G1522" s="89"/>
      <c r="H1522" s="89">
        <f t="shared" ref="H1522:H1523" si="290">PRODUCT(D1522:G1522)</f>
        <v>1</v>
      </c>
      <c r="I1522" s="89">
        <f>H1522</f>
        <v>1</v>
      </c>
      <c r="J1522" s="89"/>
      <c r="K1522" s="157"/>
      <c r="L1522" s="157"/>
      <c r="M1522" s="158"/>
      <c r="O1522" s="82">
        <f t="shared" si="264"/>
        <v>0</v>
      </c>
    </row>
    <row r="1523" spans="1:15" s="5" customFormat="1" ht="16.149999999999999" customHeight="1" x14ac:dyDescent="0.2">
      <c r="A1523" s="30"/>
      <c r="B1523" s="98" t="s">
        <v>530</v>
      </c>
      <c r="C1523" s="32"/>
      <c r="D1523" s="32">
        <v>1</v>
      </c>
      <c r="E1523" s="89"/>
      <c r="F1523" s="89"/>
      <c r="G1523" s="89"/>
      <c r="H1523" s="89">
        <f t="shared" si="290"/>
        <v>1</v>
      </c>
      <c r="I1523" s="89">
        <f t="shared" ref="I1523" si="291">H1523</f>
        <v>1</v>
      </c>
      <c r="J1523" s="89"/>
      <c r="K1523" s="157"/>
      <c r="L1523" s="157"/>
      <c r="M1523" s="158"/>
      <c r="O1523" s="82">
        <f t="shared" si="264"/>
        <v>0</v>
      </c>
    </row>
    <row r="1524" spans="1:15" ht="17.100000000000001" customHeight="1" x14ac:dyDescent="0.2">
      <c r="A1524" s="56"/>
      <c r="B1524" s="62" t="s">
        <v>56</v>
      </c>
      <c r="C1524" s="41"/>
      <c r="D1524" s="41"/>
      <c r="E1524" s="90"/>
      <c r="F1524" s="90"/>
      <c r="G1524" s="90"/>
      <c r="H1524" s="90"/>
      <c r="I1524" s="90"/>
      <c r="J1524" s="90"/>
      <c r="K1524" s="163"/>
      <c r="L1524" s="163"/>
      <c r="M1524" s="158">
        <f t="shared" si="258"/>
        <v>0</v>
      </c>
      <c r="O1524" s="82">
        <f t="shared" si="264"/>
        <v>0</v>
      </c>
    </row>
    <row r="1525" spans="1:15" ht="17.100000000000001" customHeight="1" x14ac:dyDescent="0.2">
      <c r="A1525" s="56" t="s">
        <v>26</v>
      </c>
      <c r="B1525" s="63" t="s">
        <v>86</v>
      </c>
      <c r="C1525" s="32" t="s">
        <v>76</v>
      </c>
      <c r="D1525" s="41"/>
      <c r="E1525" s="90"/>
      <c r="F1525" s="90"/>
      <c r="G1525" s="90"/>
      <c r="H1525" s="89">
        <f t="shared" ref="H1525:H1529" si="292">PRODUCT(D1525:G1525)</f>
        <v>0</v>
      </c>
      <c r="I1525" s="89">
        <f t="shared" ref="I1525:J1529" si="293">H1525</f>
        <v>0</v>
      </c>
      <c r="J1525" s="90">
        <v>6</v>
      </c>
      <c r="K1525" s="157">
        <v>6</v>
      </c>
      <c r="L1525" s="157">
        <v>900</v>
      </c>
      <c r="M1525" s="158">
        <f t="shared" si="258"/>
        <v>5400</v>
      </c>
      <c r="O1525" s="82">
        <f t="shared" si="264"/>
        <v>0</v>
      </c>
    </row>
    <row r="1526" spans="1:15" s="83" customFormat="1" ht="17.100000000000001" customHeight="1" x14ac:dyDescent="0.2">
      <c r="A1526" s="56" t="s">
        <v>27</v>
      </c>
      <c r="B1526" s="64" t="s">
        <v>301</v>
      </c>
      <c r="C1526" s="59" t="s">
        <v>76</v>
      </c>
      <c r="D1526" s="41"/>
      <c r="E1526" s="90"/>
      <c r="F1526" s="90"/>
      <c r="G1526" s="90"/>
      <c r="H1526" s="89">
        <f t="shared" si="292"/>
        <v>0</v>
      </c>
      <c r="I1526" s="89">
        <f t="shared" si="293"/>
        <v>0</v>
      </c>
      <c r="J1526" s="90">
        <v>2</v>
      </c>
      <c r="K1526" s="157">
        <v>2</v>
      </c>
      <c r="L1526" s="165">
        <v>950</v>
      </c>
      <c r="M1526" s="158">
        <f t="shared" si="258"/>
        <v>1900</v>
      </c>
      <c r="N1526" s="5"/>
      <c r="O1526" s="82">
        <f t="shared" si="264"/>
        <v>0</v>
      </c>
    </row>
    <row r="1527" spans="1:15" s="5" customFormat="1" ht="18" customHeight="1" x14ac:dyDescent="0.2">
      <c r="A1527" s="56" t="s">
        <v>249</v>
      </c>
      <c r="B1527" s="63" t="s">
        <v>81</v>
      </c>
      <c r="C1527" s="32" t="s">
        <v>76</v>
      </c>
      <c r="D1527" s="41"/>
      <c r="E1527" s="90"/>
      <c r="F1527" s="90"/>
      <c r="G1527" s="90"/>
      <c r="H1527" s="89">
        <f t="shared" si="292"/>
        <v>0</v>
      </c>
      <c r="I1527" s="89">
        <f t="shared" si="293"/>
        <v>0</v>
      </c>
      <c r="J1527" s="90">
        <f t="shared" si="293"/>
        <v>0</v>
      </c>
      <c r="K1527" s="157">
        <v>0</v>
      </c>
      <c r="L1527" s="157">
        <v>3500</v>
      </c>
      <c r="M1527" s="158">
        <f t="shared" si="258"/>
        <v>0</v>
      </c>
      <c r="O1527" s="82">
        <f t="shared" si="264"/>
        <v>0</v>
      </c>
    </row>
    <row r="1528" spans="1:15" s="5" customFormat="1" ht="18" customHeight="1" x14ac:dyDescent="0.2">
      <c r="A1528" s="56" t="s">
        <v>250</v>
      </c>
      <c r="B1528" s="63" t="s">
        <v>125</v>
      </c>
      <c r="C1528" s="32" t="s">
        <v>76</v>
      </c>
      <c r="D1528" s="41"/>
      <c r="E1528" s="90"/>
      <c r="F1528" s="90"/>
      <c r="G1528" s="90"/>
      <c r="H1528" s="89">
        <f t="shared" si="292"/>
        <v>0</v>
      </c>
      <c r="I1528" s="89">
        <f t="shared" si="293"/>
        <v>0</v>
      </c>
      <c r="J1528" s="90">
        <f t="shared" si="293"/>
        <v>0</v>
      </c>
      <c r="K1528" s="157"/>
      <c r="L1528" s="157">
        <v>15000</v>
      </c>
      <c r="M1528" s="158">
        <f t="shared" si="258"/>
        <v>0</v>
      </c>
      <c r="O1528" s="82">
        <f t="shared" si="264"/>
        <v>0</v>
      </c>
    </row>
    <row r="1529" spans="1:15" s="14" customFormat="1" x14ac:dyDescent="0.2">
      <c r="A1529" s="56" t="s">
        <v>379</v>
      </c>
      <c r="B1529" s="47" t="s">
        <v>380</v>
      </c>
      <c r="C1529" s="32" t="s">
        <v>1</v>
      </c>
      <c r="D1529" s="41"/>
      <c r="E1529" s="90"/>
      <c r="F1529" s="90"/>
      <c r="G1529" s="90"/>
      <c r="H1529" s="89">
        <f t="shared" si="292"/>
        <v>0</v>
      </c>
      <c r="I1529" s="89">
        <f t="shared" si="293"/>
        <v>0</v>
      </c>
      <c r="J1529" s="90">
        <f t="shared" si="293"/>
        <v>0</v>
      </c>
      <c r="K1529" s="157"/>
      <c r="L1529" s="157">
        <v>120</v>
      </c>
      <c r="M1529" s="158">
        <f t="shared" si="258"/>
        <v>0</v>
      </c>
      <c r="N1529" s="5"/>
      <c r="O1529" s="82">
        <f t="shared" si="264"/>
        <v>0</v>
      </c>
    </row>
    <row r="1530" spans="1:15" s="14" customFormat="1" x14ac:dyDescent="0.2">
      <c r="A1530" s="56" t="s">
        <v>381</v>
      </c>
      <c r="B1530" s="63" t="s">
        <v>454</v>
      </c>
      <c r="C1530" s="32"/>
      <c r="D1530" s="32"/>
      <c r="E1530" s="89"/>
      <c r="F1530" s="89"/>
      <c r="G1530" s="89"/>
      <c r="H1530" s="89"/>
      <c r="I1530" s="89"/>
      <c r="J1530" s="89"/>
      <c r="K1530" s="157"/>
      <c r="L1530" s="157"/>
      <c r="M1530" s="158">
        <f t="shared" si="258"/>
        <v>0</v>
      </c>
      <c r="N1530" s="5"/>
      <c r="O1530" s="82">
        <f t="shared" si="264"/>
        <v>0</v>
      </c>
    </row>
    <row r="1531" spans="1:15" s="14" customFormat="1" x14ac:dyDescent="0.2">
      <c r="A1531" s="56" t="s">
        <v>415</v>
      </c>
      <c r="B1531" s="47" t="s">
        <v>417</v>
      </c>
      <c r="C1531" s="32" t="s">
        <v>1</v>
      </c>
      <c r="D1531" s="41"/>
      <c r="E1531" s="90"/>
      <c r="F1531" s="90"/>
      <c r="G1531" s="90"/>
      <c r="H1531" s="89">
        <f t="shared" ref="H1531:H1532" si="294">PRODUCT(D1531:G1531)</f>
        <v>0</v>
      </c>
      <c r="I1531" s="89">
        <f t="shared" ref="I1531:J1532" si="295">H1531</f>
        <v>0</v>
      </c>
      <c r="J1531" s="90">
        <f t="shared" si="295"/>
        <v>0</v>
      </c>
      <c r="K1531" s="157"/>
      <c r="L1531" s="157">
        <v>150</v>
      </c>
      <c r="M1531" s="158">
        <f t="shared" si="258"/>
        <v>0</v>
      </c>
      <c r="N1531" s="5"/>
      <c r="O1531" s="82">
        <f t="shared" si="264"/>
        <v>0</v>
      </c>
    </row>
    <row r="1532" spans="1:15" s="14" customFormat="1" x14ac:dyDescent="0.2">
      <c r="A1532" s="56" t="s">
        <v>416</v>
      </c>
      <c r="B1532" s="47" t="s">
        <v>418</v>
      </c>
      <c r="C1532" s="32" t="s">
        <v>1</v>
      </c>
      <c r="D1532" s="41"/>
      <c r="E1532" s="90"/>
      <c r="F1532" s="90"/>
      <c r="G1532" s="90"/>
      <c r="H1532" s="89">
        <f t="shared" si="294"/>
        <v>0</v>
      </c>
      <c r="I1532" s="89">
        <f t="shared" si="295"/>
        <v>0</v>
      </c>
      <c r="J1532" s="90">
        <f t="shared" si="295"/>
        <v>0</v>
      </c>
      <c r="K1532" s="157"/>
      <c r="L1532" s="157">
        <v>140</v>
      </c>
      <c r="M1532" s="158">
        <f t="shared" si="258"/>
        <v>0</v>
      </c>
      <c r="N1532" s="5"/>
      <c r="O1532" s="82">
        <f t="shared" si="264"/>
        <v>0</v>
      </c>
    </row>
    <row r="1533" spans="1:15" ht="18" customHeight="1" x14ac:dyDescent="0.2">
      <c r="A1533" s="250" t="s">
        <v>113</v>
      </c>
      <c r="B1533" s="251"/>
      <c r="C1533" s="251"/>
      <c r="D1533" s="251"/>
      <c r="E1533" s="251"/>
      <c r="F1533" s="251"/>
      <c r="G1533" s="251"/>
      <c r="H1533" s="251"/>
      <c r="I1533" s="251"/>
      <c r="J1533" s="251"/>
      <c r="K1533" s="251"/>
      <c r="L1533" s="252"/>
      <c r="M1533" s="159">
        <f>SUM(M1465:M1532)</f>
        <v>166900</v>
      </c>
      <c r="O1533" s="82">
        <f t="shared" si="264"/>
        <v>0</v>
      </c>
    </row>
    <row r="1534" spans="1:15" ht="18" customHeight="1" x14ac:dyDescent="0.2">
      <c r="A1534" s="40"/>
      <c r="B1534" s="62" t="s">
        <v>251</v>
      </c>
      <c r="C1534" s="41"/>
      <c r="D1534" s="41"/>
      <c r="E1534" s="90"/>
      <c r="F1534" s="90"/>
      <c r="G1534" s="90"/>
      <c r="H1534" s="90"/>
      <c r="I1534" s="90"/>
      <c r="J1534" s="90"/>
      <c r="K1534" s="163"/>
      <c r="L1534" s="163"/>
      <c r="M1534" s="158"/>
      <c r="O1534" s="82">
        <f t="shared" si="264"/>
        <v>0</v>
      </c>
    </row>
    <row r="1535" spans="1:15" s="83" customFormat="1" ht="18" customHeight="1" x14ac:dyDescent="0.2">
      <c r="A1535" s="66" t="s">
        <v>57</v>
      </c>
      <c r="B1535" s="53" t="s">
        <v>358</v>
      </c>
      <c r="C1535" s="67" t="s">
        <v>4</v>
      </c>
      <c r="D1535" s="67"/>
      <c r="E1535" s="92"/>
      <c r="F1535" s="92"/>
      <c r="G1535" s="92"/>
      <c r="H1535" s="92"/>
      <c r="I1535" s="92">
        <f>SUM(H1538:H1549)</f>
        <v>3515.5999999999995</v>
      </c>
      <c r="J1535" s="92">
        <f>I1535</f>
        <v>3515.5999999999995</v>
      </c>
      <c r="K1535" s="163">
        <v>3650</v>
      </c>
      <c r="L1535" s="166">
        <v>18</v>
      </c>
      <c r="M1535" s="158">
        <f>+L1535*K1535</f>
        <v>65700</v>
      </c>
      <c r="N1535" s="68"/>
      <c r="O1535" s="82">
        <f t="shared" si="264"/>
        <v>134.40000000000055</v>
      </c>
    </row>
    <row r="1536" spans="1:15" ht="15.95" customHeight="1" x14ac:dyDescent="0.2">
      <c r="A1536" s="40"/>
      <c r="B1536" s="118" t="s">
        <v>505</v>
      </c>
      <c r="C1536" s="41"/>
      <c r="D1536" s="41">
        <v>1</v>
      </c>
      <c r="E1536" s="90">
        <f>J587</f>
        <v>1334.55</v>
      </c>
      <c r="F1536" s="90"/>
      <c r="G1536" s="90"/>
      <c r="H1536" s="89">
        <f t="shared" ref="H1536:H1549" si="296">PRODUCT(D1536:G1536)</f>
        <v>1334.55</v>
      </c>
      <c r="I1536" s="90"/>
      <c r="J1536" s="90"/>
      <c r="K1536" s="163"/>
      <c r="L1536" s="163"/>
      <c r="M1536" s="158"/>
      <c r="O1536" s="82">
        <f t="shared" si="264"/>
        <v>0</v>
      </c>
    </row>
    <row r="1537" spans="1:15" ht="16.5" customHeight="1" x14ac:dyDescent="0.2">
      <c r="A1537" s="40"/>
      <c r="B1537" s="45"/>
      <c r="C1537" s="41"/>
      <c r="D1537" s="41"/>
      <c r="E1537" s="90"/>
      <c r="F1537" s="90"/>
      <c r="G1537" s="90"/>
      <c r="H1537" s="89">
        <f t="shared" si="296"/>
        <v>0</v>
      </c>
      <c r="I1537" s="90"/>
      <c r="J1537" s="90"/>
      <c r="K1537" s="163"/>
      <c r="L1537" s="163"/>
      <c r="M1537" s="158"/>
      <c r="O1537" s="82">
        <f t="shared" si="264"/>
        <v>0</v>
      </c>
    </row>
    <row r="1538" spans="1:15" ht="16.5" customHeight="1" x14ac:dyDescent="0.2">
      <c r="A1538" s="40"/>
      <c r="B1538" s="119" t="s">
        <v>506</v>
      </c>
      <c r="C1538" s="41"/>
      <c r="D1538" s="41"/>
      <c r="E1538" s="90"/>
      <c r="F1538" s="90"/>
      <c r="G1538" s="90"/>
      <c r="H1538" s="89">
        <f t="shared" si="296"/>
        <v>0</v>
      </c>
      <c r="I1538" s="90"/>
      <c r="J1538" s="90"/>
      <c r="K1538" s="163"/>
      <c r="L1538" s="163"/>
      <c r="M1538" s="158"/>
      <c r="O1538" s="82">
        <f t="shared" si="264"/>
        <v>0</v>
      </c>
    </row>
    <row r="1539" spans="1:15" ht="16.5" customHeight="1" x14ac:dyDescent="0.2">
      <c r="A1539" s="40"/>
      <c r="B1539" s="45" t="s">
        <v>507</v>
      </c>
      <c r="C1539" s="41"/>
      <c r="D1539" s="41">
        <v>2</v>
      </c>
      <c r="E1539" s="90">
        <v>24</v>
      </c>
      <c r="F1539" s="90"/>
      <c r="G1539" s="90">
        <f t="shared" ref="G1539:G1542" si="297">3.4*2+0.6</f>
        <v>7.3999999999999995</v>
      </c>
      <c r="H1539" s="89">
        <f t="shared" si="296"/>
        <v>355.2</v>
      </c>
      <c r="I1539" s="90"/>
      <c r="J1539" s="90"/>
      <c r="K1539" s="163"/>
      <c r="L1539" s="163"/>
      <c r="M1539" s="158"/>
      <c r="O1539" s="82">
        <f t="shared" si="264"/>
        <v>0</v>
      </c>
    </row>
    <row r="1540" spans="1:15" ht="16.5" customHeight="1" x14ac:dyDescent="0.2">
      <c r="A1540" s="40"/>
      <c r="B1540" s="45"/>
      <c r="C1540" s="41"/>
      <c r="D1540" s="41">
        <v>2</v>
      </c>
      <c r="E1540" s="90">
        <v>12</v>
      </c>
      <c r="F1540" s="90"/>
      <c r="G1540" s="90">
        <f t="shared" si="297"/>
        <v>7.3999999999999995</v>
      </c>
      <c r="H1540" s="89">
        <f t="shared" si="296"/>
        <v>177.6</v>
      </c>
      <c r="I1540" s="90"/>
      <c r="J1540" s="90"/>
      <c r="K1540" s="163"/>
      <c r="L1540" s="163"/>
      <c r="M1540" s="158"/>
      <c r="O1540" s="82">
        <f t="shared" si="264"/>
        <v>0</v>
      </c>
    </row>
    <row r="1541" spans="1:15" ht="16.5" customHeight="1" x14ac:dyDescent="0.2">
      <c r="A1541" s="40"/>
      <c r="B1541" s="45" t="s">
        <v>507</v>
      </c>
      <c r="C1541" s="41"/>
      <c r="D1541" s="41">
        <v>2</v>
      </c>
      <c r="E1541" s="90">
        <v>23</v>
      </c>
      <c r="F1541" s="90"/>
      <c r="G1541" s="90">
        <f t="shared" si="297"/>
        <v>7.3999999999999995</v>
      </c>
      <c r="H1541" s="89">
        <f t="shared" si="296"/>
        <v>340.4</v>
      </c>
      <c r="I1541" s="90"/>
      <c r="J1541" s="90"/>
      <c r="K1541" s="163"/>
      <c r="L1541" s="163"/>
      <c r="M1541" s="158"/>
      <c r="O1541" s="82">
        <f t="shared" si="264"/>
        <v>0</v>
      </c>
    </row>
    <row r="1542" spans="1:15" ht="16.5" customHeight="1" x14ac:dyDescent="0.2">
      <c r="A1542" s="40"/>
      <c r="B1542" s="45"/>
      <c r="C1542" s="41"/>
      <c r="D1542" s="41">
        <v>2</v>
      </c>
      <c r="E1542" s="90">
        <v>6.5</v>
      </c>
      <c r="F1542" s="90"/>
      <c r="G1542" s="90">
        <f t="shared" si="297"/>
        <v>7.3999999999999995</v>
      </c>
      <c r="H1542" s="89">
        <f t="shared" si="296"/>
        <v>96.199999999999989</v>
      </c>
      <c r="I1542" s="90"/>
      <c r="J1542" s="90"/>
      <c r="K1542" s="163"/>
      <c r="L1542" s="163"/>
      <c r="M1542" s="158"/>
      <c r="O1542" s="82">
        <f t="shared" si="264"/>
        <v>0</v>
      </c>
    </row>
    <row r="1543" spans="1:15" ht="16.5" customHeight="1" x14ac:dyDescent="0.2">
      <c r="A1543" s="40"/>
      <c r="B1543" s="45" t="s">
        <v>508</v>
      </c>
      <c r="C1543" s="41"/>
      <c r="D1543" s="41">
        <v>2</v>
      </c>
      <c r="E1543" s="90">
        <v>15.9</v>
      </c>
      <c r="F1543" s="90"/>
      <c r="G1543" s="90">
        <v>3.6</v>
      </c>
      <c r="H1543" s="89">
        <f t="shared" si="296"/>
        <v>114.48</v>
      </c>
      <c r="I1543" s="90"/>
      <c r="J1543" s="90"/>
      <c r="K1543" s="163"/>
      <c r="L1543" s="163"/>
      <c r="M1543" s="158"/>
      <c r="O1543" s="82">
        <f t="shared" si="264"/>
        <v>0</v>
      </c>
    </row>
    <row r="1544" spans="1:15" ht="16.5" customHeight="1" x14ac:dyDescent="0.2">
      <c r="A1544" s="40"/>
      <c r="B1544" s="45"/>
      <c r="C1544" s="41"/>
      <c r="D1544" s="41">
        <v>2</v>
      </c>
      <c r="E1544" s="90">
        <v>4.8</v>
      </c>
      <c r="F1544" s="90"/>
      <c r="G1544" s="90">
        <v>3.6</v>
      </c>
      <c r="H1544" s="89">
        <f t="shared" si="296"/>
        <v>34.56</v>
      </c>
      <c r="I1544" s="90"/>
      <c r="J1544" s="90"/>
      <c r="K1544" s="163"/>
      <c r="L1544" s="163"/>
      <c r="M1544" s="158"/>
      <c r="O1544" s="82">
        <f t="shared" si="264"/>
        <v>0</v>
      </c>
    </row>
    <row r="1545" spans="1:15" ht="16.5" customHeight="1" x14ac:dyDescent="0.2">
      <c r="A1545" s="40"/>
      <c r="B1545" s="45" t="s">
        <v>508</v>
      </c>
      <c r="C1545" s="41"/>
      <c r="D1545" s="41">
        <v>2</v>
      </c>
      <c r="E1545" s="90">
        <v>46</v>
      </c>
      <c r="F1545" s="90"/>
      <c r="G1545" s="90">
        <v>3.6</v>
      </c>
      <c r="H1545" s="89">
        <f t="shared" si="296"/>
        <v>331.2</v>
      </c>
      <c r="I1545" s="90"/>
      <c r="J1545" s="90"/>
      <c r="K1545" s="163"/>
      <c r="L1545" s="163"/>
      <c r="M1545" s="158"/>
      <c r="O1545" s="82">
        <f t="shared" si="264"/>
        <v>0</v>
      </c>
    </row>
    <row r="1546" spans="1:15" ht="16.5" customHeight="1" x14ac:dyDescent="0.2">
      <c r="A1546" s="40"/>
      <c r="B1546" s="45"/>
      <c r="C1546" s="41"/>
      <c r="D1546" s="41">
        <v>2</v>
      </c>
      <c r="E1546" s="90">
        <v>8</v>
      </c>
      <c r="F1546" s="90"/>
      <c r="G1546" s="90">
        <v>3.6</v>
      </c>
      <c r="H1546" s="89">
        <f t="shared" si="296"/>
        <v>57.6</v>
      </c>
      <c r="I1546" s="90"/>
      <c r="J1546" s="90"/>
      <c r="K1546" s="163"/>
      <c r="L1546" s="163"/>
      <c r="M1546" s="158"/>
      <c r="O1546" s="82">
        <f t="shared" si="264"/>
        <v>0</v>
      </c>
    </row>
    <row r="1547" spans="1:15" ht="16.5" customHeight="1" x14ac:dyDescent="0.2">
      <c r="A1547" s="40"/>
      <c r="B1547" s="45" t="s">
        <v>508</v>
      </c>
      <c r="C1547" s="41"/>
      <c r="D1547" s="41">
        <v>2</v>
      </c>
      <c r="E1547" s="90">
        <v>36.700000000000003</v>
      </c>
      <c r="F1547" s="90"/>
      <c r="G1547" s="90">
        <f>3.4*2+0.6</f>
        <v>7.3999999999999995</v>
      </c>
      <c r="H1547" s="89">
        <f t="shared" si="296"/>
        <v>543.16</v>
      </c>
      <c r="I1547" s="90"/>
      <c r="J1547" s="90"/>
      <c r="K1547" s="163"/>
      <c r="L1547" s="163"/>
      <c r="M1547" s="158"/>
      <c r="O1547" s="82">
        <f t="shared" ref="O1547:O1610" si="298">K1547-J1547</f>
        <v>0</v>
      </c>
    </row>
    <row r="1548" spans="1:15" ht="16.5" customHeight="1" x14ac:dyDescent="0.2">
      <c r="A1548" s="40"/>
      <c r="B1548" s="45"/>
      <c r="C1548" s="41"/>
      <c r="D1548" s="41">
        <v>2</v>
      </c>
      <c r="E1548" s="90">
        <v>99</v>
      </c>
      <c r="F1548" s="90"/>
      <c r="G1548" s="90">
        <f>3.4*2+0.6</f>
        <v>7.3999999999999995</v>
      </c>
      <c r="H1548" s="89">
        <f t="shared" si="296"/>
        <v>1465.1999999999998</v>
      </c>
      <c r="I1548" s="90"/>
      <c r="J1548" s="90"/>
      <c r="K1548" s="163"/>
      <c r="L1548" s="163"/>
      <c r="M1548" s="158"/>
      <c r="O1548" s="82">
        <f t="shared" si="298"/>
        <v>0</v>
      </c>
    </row>
    <row r="1549" spans="1:15" ht="16.5" customHeight="1" x14ac:dyDescent="0.2">
      <c r="A1549" s="40"/>
      <c r="B1549" s="45"/>
      <c r="C1549" s="41"/>
      <c r="D1549" s="41"/>
      <c r="E1549" s="90"/>
      <c r="F1549" s="90"/>
      <c r="G1549" s="90"/>
      <c r="H1549" s="89">
        <f t="shared" si="296"/>
        <v>0</v>
      </c>
      <c r="I1549" s="90"/>
      <c r="J1549" s="90"/>
      <c r="K1549" s="163"/>
      <c r="L1549" s="163"/>
      <c r="M1549" s="158"/>
      <c r="O1549" s="82">
        <f t="shared" si="298"/>
        <v>0</v>
      </c>
    </row>
    <row r="1550" spans="1:15" s="83" customFormat="1" ht="18" customHeight="1" x14ac:dyDescent="0.2">
      <c r="A1550" s="66" t="s">
        <v>58</v>
      </c>
      <c r="B1550" s="54" t="s">
        <v>309</v>
      </c>
      <c r="C1550" s="67" t="s">
        <v>4</v>
      </c>
      <c r="D1550" s="67"/>
      <c r="E1550" s="92"/>
      <c r="F1550" s="92"/>
      <c r="G1550" s="92"/>
      <c r="H1550" s="92"/>
      <c r="I1550" s="92"/>
      <c r="J1550" s="92">
        <f>SUM(I1552:I1703)</f>
        <v>5482.5118999999995</v>
      </c>
      <c r="K1550" s="163">
        <v>5500</v>
      </c>
      <c r="L1550" s="166">
        <v>18</v>
      </c>
      <c r="M1550" s="158">
        <f>+L1550*K1550</f>
        <v>99000</v>
      </c>
      <c r="N1550" s="68"/>
      <c r="O1550" s="82">
        <f t="shared" si="298"/>
        <v>17.488100000000486</v>
      </c>
    </row>
    <row r="1551" spans="1:15" s="5" customFormat="1" ht="16.149999999999999" customHeight="1" x14ac:dyDescent="0.2">
      <c r="A1551" s="30"/>
      <c r="B1551" s="98" t="s">
        <v>464</v>
      </c>
      <c r="C1551" s="32"/>
      <c r="D1551" s="32"/>
      <c r="E1551" s="89"/>
      <c r="F1551" s="89"/>
      <c r="G1551" s="89"/>
      <c r="H1551" s="89"/>
      <c r="I1551" s="89"/>
      <c r="K1551" s="157"/>
      <c r="L1551" s="157"/>
      <c r="M1551" s="158"/>
      <c r="O1551" s="82">
        <f t="shared" si="298"/>
        <v>0</v>
      </c>
    </row>
    <row r="1552" spans="1:15" s="5" customFormat="1" ht="16.149999999999999" customHeight="1" x14ac:dyDescent="0.2">
      <c r="A1552" s="30"/>
      <c r="B1552" s="105" t="s">
        <v>474</v>
      </c>
      <c r="C1552" s="32"/>
      <c r="D1552" s="32"/>
      <c r="E1552" s="89"/>
      <c r="F1552" s="89"/>
      <c r="G1552" s="89"/>
      <c r="I1552" s="89"/>
      <c r="K1552" s="157"/>
      <c r="L1552" s="157"/>
      <c r="M1552" s="158"/>
      <c r="O1552" s="82">
        <f t="shared" si="298"/>
        <v>0</v>
      </c>
    </row>
    <row r="1553" spans="1:15" s="5" customFormat="1" ht="16.149999999999999" customHeight="1" x14ac:dyDescent="0.2">
      <c r="A1553" s="30"/>
      <c r="B1553" s="44" t="s">
        <v>494</v>
      </c>
      <c r="C1553" s="41"/>
      <c r="D1553" s="41">
        <f>2*5</f>
        <v>10</v>
      </c>
      <c r="E1553" s="109">
        <v>6.6</v>
      </c>
      <c r="F1553" s="109"/>
      <c r="G1553" s="109">
        <v>3.1</v>
      </c>
      <c r="H1553" s="89">
        <f>PRODUCT(D1553:G1553)</f>
        <v>204.6</v>
      </c>
      <c r="I1553" s="89"/>
      <c r="K1553" s="157"/>
      <c r="L1553" s="157"/>
      <c r="M1553" s="158"/>
      <c r="O1553" s="82">
        <f t="shared" si="298"/>
        <v>0</v>
      </c>
    </row>
    <row r="1554" spans="1:15" s="5" customFormat="1" ht="16.149999999999999" customHeight="1" x14ac:dyDescent="0.2">
      <c r="A1554" s="30"/>
      <c r="B1554" s="44"/>
      <c r="C1554" s="41"/>
      <c r="D1554" s="41">
        <f>2*5</f>
        <v>10</v>
      </c>
      <c r="E1554" s="109">
        <v>8.6300000000000008</v>
      </c>
      <c r="F1554" s="109"/>
      <c r="G1554" s="109">
        <v>3.1</v>
      </c>
      <c r="H1554" s="89">
        <f t="shared" ref="H1554:H1558" si="299">PRODUCT(D1554:G1554)</f>
        <v>267.53000000000003</v>
      </c>
      <c r="I1554" s="89"/>
      <c r="K1554" s="157"/>
      <c r="L1554" s="157"/>
      <c r="M1554" s="158"/>
      <c r="O1554" s="82">
        <f t="shared" si="298"/>
        <v>0</v>
      </c>
    </row>
    <row r="1555" spans="1:15" s="5" customFormat="1" ht="16.149999999999999" customHeight="1" x14ac:dyDescent="0.2">
      <c r="A1555" s="30"/>
      <c r="B1555" s="44"/>
      <c r="C1555" s="41"/>
      <c r="D1555" s="41">
        <v>4</v>
      </c>
      <c r="E1555" s="109">
        <v>0.6</v>
      </c>
      <c r="F1555" s="109"/>
      <c r="G1555" s="109">
        <v>3.1</v>
      </c>
      <c r="H1555" s="89">
        <f t="shared" si="299"/>
        <v>7.4399999999999995</v>
      </c>
      <c r="I1555" s="89"/>
      <c r="K1555" s="157"/>
      <c r="L1555" s="157"/>
      <c r="M1555" s="158"/>
      <c r="O1555" s="82">
        <f t="shared" si="298"/>
        <v>0</v>
      </c>
    </row>
    <row r="1556" spans="1:15" s="5" customFormat="1" ht="16.149999999999999" customHeight="1" x14ac:dyDescent="0.2">
      <c r="A1556" s="30"/>
      <c r="B1556" s="110" t="s">
        <v>480</v>
      </c>
      <c r="C1556" s="41"/>
      <c r="D1556" s="41"/>
      <c r="E1556" s="109"/>
      <c r="F1556" s="109"/>
      <c r="G1556" s="109"/>
      <c r="H1556" s="89">
        <f t="shared" si="299"/>
        <v>0</v>
      </c>
      <c r="I1556" s="89"/>
      <c r="K1556" s="157"/>
      <c r="L1556" s="157"/>
      <c r="M1556" s="158"/>
      <c r="O1556" s="82">
        <f t="shared" si="298"/>
        <v>0</v>
      </c>
    </row>
    <row r="1557" spans="1:15" ht="15.95" customHeight="1" x14ac:dyDescent="0.2">
      <c r="A1557" s="30"/>
      <c r="B1557" s="41" t="s">
        <v>424</v>
      </c>
      <c r="C1557" s="41"/>
      <c r="D1557" s="41">
        <v>-20</v>
      </c>
      <c r="E1557" s="90">
        <v>0.9</v>
      </c>
      <c r="F1557" s="90"/>
      <c r="G1557" s="90">
        <v>1.2</v>
      </c>
      <c r="H1557" s="89">
        <f t="shared" si="299"/>
        <v>-21.599999999999998</v>
      </c>
      <c r="I1557" s="89"/>
      <c r="J1557" s="90"/>
      <c r="K1557" s="157"/>
      <c r="L1557" s="157"/>
      <c r="M1557" s="158"/>
      <c r="O1557" s="82">
        <f t="shared" si="298"/>
        <v>0</v>
      </c>
    </row>
    <row r="1558" spans="1:15" ht="15.95" customHeight="1" x14ac:dyDescent="0.2">
      <c r="A1558" s="30"/>
      <c r="B1558" s="41" t="s">
        <v>481</v>
      </c>
      <c r="C1558" s="41"/>
      <c r="D1558" s="41">
        <v>-5</v>
      </c>
      <c r="E1558" s="90">
        <v>0.9</v>
      </c>
      <c r="F1558" s="90"/>
      <c r="G1558" s="90">
        <v>2.4</v>
      </c>
      <c r="H1558" s="89">
        <f t="shared" si="299"/>
        <v>-10.799999999999999</v>
      </c>
      <c r="I1558" s="89"/>
      <c r="J1558" s="108"/>
      <c r="K1558" s="157"/>
      <c r="L1558" s="157"/>
      <c r="M1558" s="158"/>
      <c r="O1558" s="82">
        <f t="shared" si="298"/>
        <v>0</v>
      </c>
    </row>
    <row r="1559" spans="1:15" s="5" customFormat="1" ht="16.149999999999999" customHeight="1" x14ac:dyDescent="0.2">
      <c r="A1559" s="30"/>
      <c r="B1559" s="44" t="s">
        <v>547</v>
      </c>
      <c r="C1559" s="41"/>
      <c r="D1559" s="41">
        <f>6*4</f>
        <v>24</v>
      </c>
      <c r="E1559" s="109">
        <v>0.3</v>
      </c>
      <c r="F1559" s="109"/>
      <c r="G1559" s="109">
        <v>3.1</v>
      </c>
      <c r="H1559" s="89">
        <f>PRODUCT(D1559:G1559)</f>
        <v>22.319999999999997</v>
      </c>
      <c r="I1559" s="89"/>
      <c r="K1559" s="157"/>
      <c r="L1559" s="157"/>
      <c r="M1559" s="158"/>
      <c r="O1559" s="82">
        <f t="shared" si="298"/>
        <v>0</v>
      </c>
    </row>
    <row r="1560" spans="1:15" s="5" customFormat="1" ht="16.149999999999999" customHeight="1" x14ac:dyDescent="0.2">
      <c r="A1560" s="30"/>
      <c r="B1560" s="44" t="s">
        <v>495</v>
      </c>
      <c r="C1560" s="41"/>
      <c r="D1560" s="41">
        <v>4</v>
      </c>
      <c r="E1560" s="109">
        <v>3.95</v>
      </c>
      <c r="F1560" s="109"/>
      <c r="G1560" s="109">
        <v>3.1</v>
      </c>
      <c r="H1560" s="89">
        <f>PRODUCT(D1560:G1560)</f>
        <v>48.980000000000004</v>
      </c>
      <c r="I1560" s="89"/>
      <c r="K1560" s="157"/>
      <c r="L1560" s="157"/>
      <c r="M1560" s="158"/>
      <c r="O1560" s="82">
        <f t="shared" si="298"/>
        <v>0</v>
      </c>
    </row>
    <row r="1561" spans="1:15" s="5" customFormat="1" ht="16.149999999999999" customHeight="1" x14ac:dyDescent="0.2">
      <c r="A1561" s="30"/>
      <c r="B1561" s="44"/>
      <c r="C1561" s="41"/>
      <c r="D1561" s="41">
        <v>2</v>
      </c>
      <c r="E1561" s="109">
        <f>3.8-0.2*2</f>
        <v>3.4</v>
      </c>
      <c r="F1561" s="109"/>
      <c r="G1561" s="109">
        <v>3.1</v>
      </c>
      <c r="H1561" s="89">
        <f t="shared" ref="H1561:H1562" si="300">PRODUCT(D1561:G1561)</f>
        <v>21.08</v>
      </c>
      <c r="I1561" s="89"/>
      <c r="K1561" s="157"/>
      <c r="L1561" s="157"/>
      <c r="M1561" s="158"/>
      <c r="O1561" s="82">
        <f t="shared" si="298"/>
        <v>0</v>
      </c>
    </row>
    <row r="1562" spans="1:15" s="5" customFormat="1" ht="16.149999999999999" customHeight="1" x14ac:dyDescent="0.2">
      <c r="A1562" s="30"/>
      <c r="B1562" s="44"/>
      <c r="C1562" s="41"/>
      <c r="D1562" s="41">
        <v>2</v>
      </c>
      <c r="E1562" s="109">
        <v>2.5</v>
      </c>
      <c r="F1562" s="109"/>
      <c r="G1562" s="109">
        <v>3.1</v>
      </c>
      <c r="H1562" s="89">
        <f t="shared" si="300"/>
        <v>15.5</v>
      </c>
      <c r="I1562" s="89"/>
      <c r="K1562" s="157"/>
      <c r="L1562" s="157"/>
      <c r="M1562" s="158"/>
      <c r="O1562" s="82">
        <f t="shared" si="298"/>
        <v>0</v>
      </c>
    </row>
    <row r="1563" spans="1:15" ht="15.95" customHeight="1" x14ac:dyDescent="0.2">
      <c r="A1563" s="30"/>
      <c r="B1563" s="46"/>
      <c r="C1563" s="41"/>
      <c r="D1563" s="41"/>
      <c r="E1563" s="90"/>
      <c r="F1563" s="90"/>
      <c r="G1563" s="90"/>
      <c r="H1563" s="89"/>
      <c r="I1563" s="89"/>
      <c r="J1563" s="108"/>
      <c r="K1563" s="157"/>
      <c r="L1563" s="157"/>
      <c r="M1563" s="158"/>
      <c r="O1563" s="82">
        <f t="shared" si="298"/>
        <v>0</v>
      </c>
    </row>
    <row r="1564" spans="1:15" ht="15.95" customHeight="1" x14ac:dyDescent="0.2">
      <c r="A1564" s="30"/>
      <c r="B1564" s="46"/>
      <c r="C1564" s="41"/>
      <c r="D1564" s="41"/>
      <c r="E1564" s="90"/>
      <c r="F1564" s="90"/>
      <c r="G1564" s="90"/>
      <c r="H1564" s="89"/>
      <c r="I1564" s="89"/>
      <c r="J1564" s="108"/>
      <c r="K1564" s="157"/>
      <c r="L1564" s="157"/>
      <c r="M1564" s="158"/>
      <c r="O1564" s="82">
        <f t="shared" si="298"/>
        <v>0</v>
      </c>
    </row>
    <row r="1565" spans="1:15" ht="15.95" customHeight="1" x14ac:dyDescent="0.2">
      <c r="A1565" s="30"/>
      <c r="B1565" s="105" t="s">
        <v>475</v>
      </c>
      <c r="C1565" s="41"/>
      <c r="D1565" s="41"/>
      <c r="E1565" s="90"/>
      <c r="F1565" s="90"/>
      <c r="G1565" s="90"/>
      <c r="H1565" s="89">
        <f t="shared" ref="H1565" si="301">PRODUCT(D1565:G1565)</f>
        <v>0</v>
      </c>
      <c r="I1565" s="89">
        <f t="shared" ref="I1565" si="302">PRODUCT(E1565:H1565)</f>
        <v>0</v>
      </c>
      <c r="J1565" s="90"/>
      <c r="K1565" s="157"/>
      <c r="L1565" s="157"/>
      <c r="M1565" s="158"/>
      <c r="O1565" s="82">
        <f t="shared" si="298"/>
        <v>0</v>
      </c>
    </row>
    <row r="1566" spans="1:15" s="5" customFormat="1" ht="16.149999999999999" customHeight="1" x14ac:dyDescent="0.2">
      <c r="A1566" s="30"/>
      <c r="B1566" s="44" t="s">
        <v>494</v>
      </c>
      <c r="C1566" s="41"/>
      <c r="D1566" s="41">
        <f>2*5</f>
        <v>10</v>
      </c>
      <c r="E1566" s="109">
        <v>6.6</v>
      </c>
      <c r="F1566" s="109"/>
      <c r="G1566" s="109">
        <v>3.1</v>
      </c>
      <c r="H1566" s="89">
        <f>PRODUCT(D1566:G1566)</f>
        <v>204.6</v>
      </c>
      <c r="I1566" s="89"/>
      <c r="K1566" s="157"/>
      <c r="L1566" s="157"/>
      <c r="M1566" s="158"/>
      <c r="O1566" s="82">
        <f t="shared" si="298"/>
        <v>0</v>
      </c>
    </row>
    <row r="1567" spans="1:15" s="5" customFormat="1" ht="16.149999999999999" customHeight="1" x14ac:dyDescent="0.2">
      <c r="A1567" s="30"/>
      <c r="B1567" s="44"/>
      <c r="C1567" s="41"/>
      <c r="D1567" s="41">
        <f>2*5</f>
        <v>10</v>
      </c>
      <c r="E1567" s="109">
        <v>8.6300000000000008</v>
      </c>
      <c r="F1567" s="109"/>
      <c r="G1567" s="109">
        <v>3.1</v>
      </c>
      <c r="H1567" s="89">
        <f t="shared" ref="H1567:H1571" si="303">PRODUCT(D1567:G1567)</f>
        <v>267.53000000000003</v>
      </c>
      <c r="I1567" s="89"/>
      <c r="K1567" s="157"/>
      <c r="L1567" s="157"/>
      <c r="M1567" s="158"/>
      <c r="O1567" s="82">
        <f t="shared" si="298"/>
        <v>0</v>
      </c>
    </row>
    <row r="1568" spans="1:15" s="5" customFormat="1" ht="16.149999999999999" customHeight="1" x14ac:dyDescent="0.2">
      <c r="A1568" s="30"/>
      <c r="B1568" s="44"/>
      <c r="C1568" s="41"/>
      <c r="D1568" s="41">
        <v>4</v>
      </c>
      <c r="E1568" s="109">
        <v>0.6</v>
      </c>
      <c r="F1568" s="109"/>
      <c r="G1568" s="109">
        <v>3.1</v>
      </c>
      <c r="H1568" s="89">
        <f t="shared" si="303"/>
        <v>7.4399999999999995</v>
      </c>
      <c r="I1568" s="89"/>
      <c r="K1568" s="157"/>
      <c r="L1568" s="157"/>
      <c r="M1568" s="158"/>
      <c r="O1568" s="82">
        <f t="shared" si="298"/>
        <v>0</v>
      </c>
    </row>
    <row r="1569" spans="1:15" s="5" customFormat="1" ht="16.149999999999999" customHeight="1" x14ac:dyDescent="0.2">
      <c r="A1569" s="30"/>
      <c r="B1569" s="110" t="s">
        <v>480</v>
      </c>
      <c r="C1569" s="41"/>
      <c r="D1569" s="41"/>
      <c r="E1569" s="109"/>
      <c r="F1569" s="109"/>
      <c r="G1569" s="109"/>
      <c r="H1569" s="89">
        <f t="shared" si="303"/>
        <v>0</v>
      </c>
      <c r="I1569" s="89"/>
      <c r="K1569" s="157"/>
      <c r="L1569" s="157"/>
      <c r="M1569" s="158"/>
      <c r="O1569" s="82">
        <f t="shared" si="298"/>
        <v>0</v>
      </c>
    </row>
    <row r="1570" spans="1:15" ht="15.95" customHeight="1" x14ac:dyDescent="0.2">
      <c r="A1570" s="30"/>
      <c r="B1570" s="41" t="s">
        <v>424</v>
      </c>
      <c r="C1570" s="41"/>
      <c r="D1570" s="41">
        <v>-20</v>
      </c>
      <c r="E1570" s="90">
        <v>0.9</v>
      </c>
      <c r="F1570" s="90"/>
      <c r="G1570" s="90">
        <v>1.2</v>
      </c>
      <c r="H1570" s="89">
        <f t="shared" si="303"/>
        <v>-21.599999999999998</v>
      </c>
      <c r="I1570" s="89"/>
      <c r="J1570" s="90"/>
      <c r="K1570" s="157"/>
      <c r="L1570" s="157"/>
      <c r="M1570" s="158"/>
      <c r="O1570" s="82">
        <f t="shared" si="298"/>
        <v>0</v>
      </c>
    </row>
    <row r="1571" spans="1:15" ht="15.95" customHeight="1" x14ac:dyDescent="0.2">
      <c r="A1571" s="30"/>
      <c r="B1571" s="41" t="s">
        <v>481</v>
      </c>
      <c r="C1571" s="41"/>
      <c r="D1571" s="41">
        <v>-5</v>
      </c>
      <c r="E1571" s="90">
        <v>0.9</v>
      </c>
      <c r="F1571" s="90"/>
      <c r="G1571" s="90">
        <v>2.4</v>
      </c>
      <c r="H1571" s="89">
        <f t="shared" si="303"/>
        <v>-10.799999999999999</v>
      </c>
      <c r="I1571" s="89"/>
      <c r="J1571" s="108"/>
      <c r="K1571" s="157"/>
      <c r="L1571" s="157"/>
      <c r="M1571" s="158"/>
      <c r="O1571" s="82">
        <f t="shared" si="298"/>
        <v>0</v>
      </c>
    </row>
    <row r="1572" spans="1:15" s="5" customFormat="1" ht="16.149999999999999" customHeight="1" x14ac:dyDescent="0.2">
      <c r="A1572" s="30"/>
      <c r="B1572" s="44" t="s">
        <v>495</v>
      </c>
      <c r="C1572" s="41"/>
      <c r="D1572" s="41">
        <v>4</v>
      </c>
      <c r="E1572" s="109">
        <v>3.95</v>
      </c>
      <c r="F1572" s="109"/>
      <c r="G1572" s="109">
        <v>3.1</v>
      </c>
      <c r="H1572" s="89">
        <f>PRODUCT(D1572:G1572)</f>
        <v>48.980000000000004</v>
      </c>
      <c r="I1572" s="89"/>
      <c r="K1572" s="157"/>
      <c r="L1572" s="157"/>
      <c r="M1572" s="158"/>
      <c r="O1572" s="82">
        <f t="shared" si="298"/>
        <v>0</v>
      </c>
    </row>
    <row r="1573" spans="1:15" s="5" customFormat="1" ht="16.149999999999999" customHeight="1" x14ac:dyDescent="0.2">
      <c r="A1573" s="30"/>
      <c r="B1573" s="44"/>
      <c r="C1573" s="41"/>
      <c r="D1573" s="41">
        <v>2</v>
      </c>
      <c r="E1573" s="109">
        <f>3.8-0.2*2</f>
        <v>3.4</v>
      </c>
      <c r="F1573" s="109"/>
      <c r="G1573" s="109">
        <v>3.1</v>
      </c>
      <c r="H1573" s="89">
        <f t="shared" ref="H1573:H1574" si="304">PRODUCT(D1573:G1573)</f>
        <v>21.08</v>
      </c>
      <c r="I1573" s="89"/>
      <c r="K1573" s="157"/>
      <c r="L1573" s="157"/>
      <c r="M1573" s="158"/>
      <c r="O1573" s="82">
        <f t="shared" si="298"/>
        <v>0</v>
      </c>
    </row>
    <row r="1574" spans="1:15" s="5" customFormat="1" ht="16.149999999999999" customHeight="1" x14ac:dyDescent="0.2">
      <c r="A1574" s="30"/>
      <c r="B1574" s="44"/>
      <c r="C1574" s="41"/>
      <c r="D1574" s="41">
        <v>2</v>
      </c>
      <c r="E1574" s="109">
        <v>2.5</v>
      </c>
      <c r="F1574" s="109"/>
      <c r="G1574" s="109">
        <v>3.1</v>
      </c>
      <c r="H1574" s="89">
        <f t="shared" si="304"/>
        <v>15.5</v>
      </c>
      <c r="I1574" s="89"/>
      <c r="K1574" s="157"/>
      <c r="L1574" s="157"/>
      <c r="M1574" s="158"/>
      <c r="O1574" s="82">
        <f t="shared" si="298"/>
        <v>0</v>
      </c>
    </row>
    <row r="1575" spans="1:15" ht="15.95" customHeight="1" x14ac:dyDescent="0.2">
      <c r="A1575" s="30"/>
      <c r="B1575" s="46"/>
      <c r="C1575" s="41"/>
      <c r="D1575" s="41"/>
      <c r="E1575" s="90"/>
      <c r="F1575" s="90"/>
      <c r="G1575" s="90"/>
      <c r="H1575" s="89"/>
      <c r="I1575" s="89">
        <f>SUM(H1552:H1574)</f>
        <v>1087.78</v>
      </c>
      <c r="J1575" s="108"/>
      <c r="K1575" s="157"/>
      <c r="L1575" s="157"/>
      <c r="M1575" s="158"/>
      <c r="O1575" s="82">
        <f t="shared" si="298"/>
        <v>0</v>
      </c>
    </row>
    <row r="1576" spans="1:15" ht="15.95" customHeight="1" x14ac:dyDescent="0.2">
      <c r="A1576" s="30"/>
      <c r="B1576" s="46"/>
      <c r="C1576" s="41"/>
      <c r="D1576" s="41"/>
      <c r="E1576" s="90"/>
      <c r="F1576" s="90"/>
      <c r="G1576" s="90"/>
      <c r="H1576" s="89"/>
      <c r="I1576" s="89">
        <f t="shared" ref="I1576" si="305">PRODUCT(E1576:H1576)</f>
        <v>0</v>
      </c>
      <c r="J1576" s="90"/>
      <c r="K1576" s="157"/>
      <c r="L1576" s="157"/>
      <c r="M1576" s="158"/>
      <c r="O1576" s="82">
        <f t="shared" si="298"/>
        <v>0</v>
      </c>
    </row>
    <row r="1577" spans="1:15" s="5" customFormat="1" ht="16.149999999999999" customHeight="1" x14ac:dyDescent="0.2">
      <c r="A1577" s="30"/>
      <c r="B1577" s="98" t="s">
        <v>465</v>
      </c>
      <c r="C1577" s="32"/>
      <c r="D1577" s="32"/>
      <c r="E1577" s="89"/>
      <c r="F1577" s="89"/>
      <c r="G1577" s="89"/>
      <c r="H1577" s="89">
        <f t="shared" ref="H1577:H1582" si="306">PRODUCT(D1577:G1577)</f>
        <v>0</v>
      </c>
      <c r="I1577" s="89"/>
      <c r="J1577" s="89"/>
      <c r="K1577" s="157"/>
      <c r="L1577" s="157"/>
      <c r="M1577" s="158"/>
      <c r="O1577" s="82">
        <f t="shared" si="298"/>
        <v>0</v>
      </c>
    </row>
    <row r="1578" spans="1:15" s="5" customFormat="1" ht="16.149999999999999" customHeight="1" x14ac:dyDescent="0.2">
      <c r="A1578" s="30"/>
      <c r="B1578" s="44" t="s">
        <v>485</v>
      </c>
      <c r="C1578" s="41"/>
      <c r="D1578" s="41">
        <v>2</v>
      </c>
      <c r="E1578" s="109">
        <v>5.0999999999999996</v>
      </c>
      <c r="F1578" s="109"/>
      <c r="G1578" s="109">
        <v>3.1</v>
      </c>
      <c r="H1578" s="89">
        <f t="shared" si="306"/>
        <v>31.619999999999997</v>
      </c>
      <c r="I1578" s="89"/>
      <c r="K1578" s="157"/>
      <c r="L1578" s="157"/>
      <c r="M1578" s="158"/>
      <c r="O1578" s="82">
        <f t="shared" si="298"/>
        <v>0</v>
      </c>
    </row>
    <row r="1579" spans="1:15" ht="15.95" customHeight="1" x14ac:dyDescent="0.2">
      <c r="A1579" s="30"/>
      <c r="B1579" s="46"/>
      <c r="C1579" s="41"/>
      <c r="D1579" s="41">
        <v>2</v>
      </c>
      <c r="E1579" s="90">
        <v>3.1</v>
      </c>
      <c r="F1579" s="90"/>
      <c r="G1579" s="109">
        <v>3.1</v>
      </c>
      <c r="H1579" s="89">
        <f t="shared" si="306"/>
        <v>19.220000000000002</v>
      </c>
      <c r="I1579" s="90"/>
      <c r="J1579" s="90"/>
      <c r="K1579" s="157"/>
      <c r="L1579" s="157"/>
      <c r="M1579" s="158"/>
      <c r="O1579" s="82">
        <f t="shared" si="298"/>
        <v>0</v>
      </c>
    </row>
    <row r="1580" spans="1:15" s="5" customFormat="1" ht="16.149999999999999" customHeight="1" x14ac:dyDescent="0.2">
      <c r="A1580" s="30"/>
      <c r="B1580" s="110" t="s">
        <v>480</v>
      </c>
      <c r="C1580" s="41"/>
      <c r="D1580" s="41"/>
      <c r="E1580" s="109"/>
      <c r="F1580" s="109"/>
      <c r="G1580" s="109"/>
      <c r="H1580" s="89">
        <f t="shared" si="306"/>
        <v>0</v>
      </c>
      <c r="I1580" s="89"/>
      <c r="K1580" s="157"/>
      <c r="L1580" s="157"/>
      <c r="M1580" s="158"/>
      <c r="O1580" s="82">
        <f t="shared" si="298"/>
        <v>0</v>
      </c>
    </row>
    <row r="1581" spans="1:15" ht="15.95" customHeight="1" x14ac:dyDescent="0.2">
      <c r="A1581" s="30"/>
      <c r="B1581" s="41" t="s">
        <v>424</v>
      </c>
      <c r="C1581" s="41"/>
      <c r="D1581" s="41">
        <v>-3</v>
      </c>
      <c r="E1581" s="90">
        <v>0.9</v>
      </c>
      <c r="F1581" s="90"/>
      <c r="G1581" s="90">
        <v>1.2</v>
      </c>
      <c r="H1581" s="89">
        <f t="shared" si="306"/>
        <v>-3.24</v>
      </c>
      <c r="I1581" s="89"/>
      <c r="J1581" s="90"/>
      <c r="K1581" s="157"/>
      <c r="L1581" s="157"/>
      <c r="M1581" s="158"/>
      <c r="O1581" s="82">
        <f t="shared" si="298"/>
        <v>0</v>
      </c>
    </row>
    <row r="1582" spans="1:15" ht="15.95" customHeight="1" x14ac:dyDescent="0.2">
      <c r="A1582" s="30"/>
      <c r="B1582" s="41" t="s">
        <v>481</v>
      </c>
      <c r="C1582" s="41"/>
      <c r="D1582" s="41">
        <v>-1</v>
      </c>
      <c r="E1582" s="90">
        <v>0.9</v>
      </c>
      <c r="F1582" s="90"/>
      <c r="G1582" s="90">
        <v>2.2000000000000002</v>
      </c>
      <c r="H1582" s="89">
        <f t="shared" si="306"/>
        <v>-1.9800000000000002</v>
      </c>
      <c r="I1582" s="89"/>
      <c r="J1582" s="108"/>
      <c r="K1582" s="157"/>
      <c r="L1582" s="157"/>
      <c r="M1582" s="158"/>
      <c r="O1582" s="82">
        <f t="shared" si="298"/>
        <v>0</v>
      </c>
    </row>
    <row r="1583" spans="1:15" ht="15.95" customHeight="1" x14ac:dyDescent="0.2">
      <c r="A1583" s="30"/>
      <c r="B1583" s="41"/>
      <c r="C1583" s="41"/>
      <c r="D1583" s="41"/>
      <c r="E1583" s="90"/>
      <c r="F1583" s="90"/>
      <c r="G1583" s="90"/>
      <c r="H1583" s="89"/>
      <c r="I1583" s="89"/>
      <c r="J1583" s="108"/>
      <c r="K1583" s="157"/>
      <c r="L1583" s="157"/>
      <c r="M1583" s="158"/>
      <c r="O1583" s="82">
        <f t="shared" si="298"/>
        <v>0</v>
      </c>
    </row>
    <row r="1584" spans="1:15" s="5" customFormat="1" ht="16.149999999999999" customHeight="1" x14ac:dyDescent="0.2">
      <c r="A1584" s="30"/>
      <c r="B1584" s="44" t="s">
        <v>488</v>
      </c>
      <c r="C1584" s="41"/>
      <c r="D1584" s="41">
        <v>2</v>
      </c>
      <c r="E1584" s="109">
        <v>5</v>
      </c>
      <c r="F1584" s="109"/>
      <c r="G1584" s="109">
        <v>3.1</v>
      </c>
      <c r="H1584" s="89">
        <f t="shared" ref="H1584:H1588" si="307">PRODUCT(D1584:G1584)</f>
        <v>31</v>
      </c>
      <c r="I1584" s="89"/>
      <c r="K1584" s="157"/>
      <c r="L1584" s="157"/>
      <c r="M1584" s="158"/>
      <c r="O1584" s="82">
        <f t="shared" si="298"/>
        <v>0</v>
      </c>
    </row>
    <row r="1585" spans="1:15" ht="15.95" customHeight="1" x14ac:dyDescent="0.2">
      <c r="A1585" s="30"/>
      <c r="B1585" s="46"/>
      <c r="C1585" s="41"/>
      <c r="D1585" s="41">
        <v>2</v>
      </c>
      <c r="E1585" s="90">
        <v>2.5</v>
      </c>
      <c r="F1585" s="90"/>
      <c r="G1585" s="109">
        <v>3.1</v>
      </c>
      <c r="H1585" s="89">
        <f t="shared" si="307"/>
        <v>15.5</v>
      </c>
      <c r="I1585" s="90"/>
      <c r="J1585" s="90"/>
      <c r="K1585" s="157"/>
      <c r="L1585" s="157"/>
      <c r="M1585" s="158"/>
      <c r="O1585" s="82">
        <f t="shared" si="298"/>
        <v>0</v>
      </c>
    </row>
    <row r="1586" spans="1:15" s="5" customFormat="1" ht="16.149999999999999" customHeight="1" x14ac:dyDescent="0.2">
      <c r="A1586" s="30"/>
      <c r="B1586" s="110" t="s">
        <v>480</v>
      </c>
      <c r="C1586" s="41"/>
      <c r="D1586" s="41"/>
      <c r="E1586" s="109"/>
      <c r="F1586" s="109"/>
      <c r="G1586" s="109"/>
      <c r="H1586" s="89">
        <f t="shared" si="307"/>
        <v>0</v>
      </c>
      <c r="I1586" s="89"/>
      <c r="K1586" s="157"/>
      <c r="L1586" s="157"/>
      <c r="M1586" s="158"/>
      <c r="O1586" s="82">
        <f t="shared" si="298"/>
        <v>0</v>
      </c>
    </row>
    <row r="1587" spans="1:15" ht="15.95" customHeight="1" x14ac:dyDescent="0.2">
      <c r="A1587" s="30"/>
      <c r="B1587" s="41" t="s">
        <v>424</v>
      </c>
      <c r="C1587" s="41"/>
      <c r="D1587" s="41">
        <v>-1</v>
      </c>
      <c r="E1587" s="90">
        <v>0.9</v>
      </c>
      <c r="F1587" s="90"/>
      <c r="G1587" s="90">
        <v>1.2</v>
      </c>
      <c r="H1587" s="89">
        <f t="shared" si="307"/>
        <v>-1.08</v>
      </c>
      <c r="I1587" s="89"/>
      <c r="J1587" s="90"/>
      <c r="K1587" s="157"/>
      <c r="L1587" s="157"/>
      <c r="M1587" s="158"/>
      <c r="O1587" s="82">
        <f t="shared" si="298"/>
        <v>0</v>
      </c>
    </row>
    <row r="1588" spans="1:15" ht="15.95" customHeight="1" x14ac:dyDescent="0.2">
      <c r="A1588" s="30"/>
      <c r="B1588" s="41" t="s">
        <v>481</v>
      </c>
      <c r="C1588" s="41"/>
      <c r="D1588" s="41">
        <v>-2</v>
      </c>
      <c r="E1588" s="90">
        <v>0.9</v>
      </c>
      <c r="F1588" s="90"/>
      <c r="G1588" s="90">
        <v>2.2000000000000002</v>
      </c>
      <c r="H1588" s="89">
        <f t="shared" si="307"/>
        <v>-3.9600000000000004</v>
      </c>
      <c r="I1588" s="89"/>
      <c r="J1588" s="108"/>
      <c r="K1588" s="157"/>
      <c r="L1588" s="157"/>
      <c r="M1588" s="158"/>
      <c r="O1588" s="82">
        <f t="shared" si="298"/>
        <v>0</v>
      </c>
    </row>
    <row r="1589" spans="1:15" ht="15.95" customHeight="1" x14ac:dyDescent="0.2">
      <c r="A1589" s="30"/>
      <c r="B1589" s="41"/>
      <c r="C1589" s="41"/>
      <c r="D1589" s="41"/>
      <c r="E1589" s="90"/>
      <c r="F1589" s="90"/>
      <c r="G1589" s="90"/>
      <c r="H1589" s="89"/>
      <c r="I1589" s="89"/>
      <c r="J1589" s="108"/>
      <c r="K1589" s="157"/>
      <c r="L1589" s="157"/>
      <c r="M1589" s="158"/>
      <c r="O1589" s="82">
        <f t="shared" si="298"/>
        <v>0</v>
      </c>
    </row>
    <row r="1590" spans="1:15" s="5" customFormat="1" ht="16.149999999999999" customHeight="1" x14ac:dyDescent="0.2">
      <c r="A1590" s="30"/>
      <c r="B1590" s="44" t="s">
        <v>479</v>
      </c>
      <c r="C1590" s="41"/>
      <c r="D1590" s="41">
        <v>2</v>
      </c>
      <c r="E1590" s="109">
        <v>4.3</v>
      </c>
      <c r="F1590" s="109"/>
      <c r="G1590" s="109">
        <f>3+0.1+0.25-0.45</f>
        <v>2.9</v>
      </c>
      <c r="H1590" s="89">
        <f t="shared" ref="H1590:H1594" si="308">PRODUCT(D1590:G1590)</f>
        <v>24.939999999999998</v>
      </c>
      <c r="I1590" s="89"/>
      <c r="K1590" s="157"/>
      <c r="L1590" s="157"/>
      <c r="M1590" s="158"/>
      <c r="O1590" s="82">
        <f t="shared" si="298"/>
        <v>0</v>
      </c>
    </row>
    <row r="1591" spans="1:15" ht="15.95" customHeight="1" x14ac:dyDescent="0.2">
      <c r="A1591" s="30"/>
      <c r="B1591" s="46"/>
      <c r="C1591" s="41"/>
      <c r="D1591" s="41">
        <v>2</v>
      </c>
      <c r="E1591" s="90">
        <v>2.9</v>
      </c>
      <c r="F1591" s="90"/>
      <c r="G1591" s="109">
        <f>3+0.1+0.25-0.45</f>
        <v>2.9</v>
      </c>
      <c r="H1591" s="89">
        <f t="shared" si="308"/>
        <v>16.82</v>
      </c>
      <c r="I1591" s="90"/>
      <c r="J1591" s="90"/>
      <c r="K1591" s="157"/>
      <c r="L1591" s="157"/>
      <c r="M1591" s="158"/>
      <c r="O1591" s="82">
        <f t="shared" si="298"/>
        <v>0</v>
      </c>
    </row>
    <row r="1592" spans="1:15" s="5" customFormat="1" ht="16.149999999999999" customHeight="1" x14ac:dyDescent="0.2">
      <c r="A1592" s="30"/>
      <c r="B1592" s="110" t="s">
        <v>480</v>
      </c>
      <c r="C1592" s="41"/>
      <c r="D1592" s="41"/>
      <c r="E1592" s="109"/>
      <c r="F1592" s="109"/>
      <c r="G1592" s="109"/>
      <c r="H1592" s="89">
        <f t="shared" si="308"/>
        <v>0</v>
      </c>
      <c r="I1592" s="89"/>
      <c r="K1592" s="157"/>
      <c r="L1592" s="157"/>
      <c r="M1592" s="158"/>
      <c r="O1592" s="82">
        <f t="shared" si="298"/>
        <v>0</v>
      </c>
    </row>
    <row r="1593" spans="1:15" ht="15.95" customHeight="1" x14ac:dyDescent="0.2">
      <c r="A1593" s="30"/>
      <c r="B1593" s="41" t="s">
        <v>424</v>
      </c>
      <c r="C1593" s="41"/>
      <c r="D1593" s="41">
        <v>-1</v>
      </c>
      <c r="E1593" s="90">
        <v>0.9</v>
      </c>
      <c r="F1593" s="90"/>
      <c r="G1593" s="90">
        <v>1.2</v>
      </c>
      <c r="H1593" s="89">
        <f t="shared" si="308"/>
        <v>-1.08</v>
      </c>
      <c r="I1593" s="89"/>
      <c r="J1593" s="90"/>
      <c r="K1593" s="157"/>
      <c r="L1593" s="157"/>
      <c r="M1593" s="158"/>
      <c r="O1593" s="82">
        <f t="shared" si="298"/>
        <v>0</v>
      </c>
    </row>
    <row r="1594" spans="1:15" ht="15.95" customHeight="1" x14ac:dyDescent="0.2">
      <c r="A1594" s="30"/>
      <c r="B1594" s="41" t="s">
        <v>481</v>
      </c>
      <c r="C1594" s="41"/>
      <c r="D1594" s="41">
        <v>-1</v>
      </c>
      <c r="E1594" s="90">
        <v>0.9</v>
      </c>
      <c r="F1594" s="90"/>
      <c r="G1594" s="90">
        <v>2.2000000000000002</v>
      </c>
      <c r="H1594" s="89">
        <f t="shared" si="308"/>
        <v>-1.9800000000000002</v>
      </c>
      <c r="I1594" s="89"/>
      <c r="J1594" s="108"/>
      <c r="K1594" s="157"/>
      <c r="L1594" s="157"/>
      <c r="M1594" s="158"/>
      <c r="O1594" s="82">
        <f t="shared" si="298"/>
        <v>0</v>
      </c>
    </row>
    <row r="1595" spans="1:15" ht="15.95" customHeight="1" x14ac:dyDescent="0.2">
      <c r="A1595" s="30"/>
      <c r="B1595" s="41"/>
      <c r="C1595" s="41"/>
      <c r="D1595" s="41"/>
      <c r="E1595" s="90"/>
      <c r="F1595" s="90"/>
      <c r="G1595" s="90"/>
      <c r="H1595" s="89"/>
      <c r="I1595" s="89"/>
      <c r="J1595" s="108"/>
      <c r="K1595" s="157"/>
      <c r="L1595" s="157"/>
      <c r="M1595" s="158"/>
      <c r="O1595" s="82">
        <f t="shared" si="298"/>
        <v>0</v>
      </c>
    </row>
    <row r="1596" spans="1:15" s="5" customFormat="1" ht="16.149999999999999" customHeight="1" x14ac:dyDescent="0.2">
      <c r="A1596" s="30"/>
      <c r="B1596" s="44" t="s">
        <v>496</v>
      </c>
      <c r="C1596" s="41"/>
      <c r="D1596" s="41">
        <v>2</v>
      </c>
      <c r="E1596" s="109">
        <v>2</v>
      </c>
      <c r="F1596" s="109"/>
      <c r="G1596" s="109">
        <v>3.1</v>
      </c>
      <c r="H1596" s="89">
        <f t="shared" ref="H1596:H1599" si="309">PRODUCT(D1596:G1596)</f>
        <v>12.4</v>
      </c>
      <c r="I1596" s="89"/>
      <c r="K1596" s="157"/>
      <c r="L1596" s="157"/>
      <c r="M1596" s="158"/>
      <c r="O1596" s="82">
        <f t="shared" si="298"/>
        <v>0</v>
      </c>
    </row>
    <row r="1597" spans="1:15" s="5" customFormat="1" ht="16.149999999999999" customHeight="1" x14ac:dyDescent="0.2">
      <c r="A1597" s="30"/>
      <c r="B1597" s="44"/>
      <c r="C1597" s="41"/>
      <c r="D1597" s="41">
        <v>2</v>
      </c>
      <c r="E1597" s="109">
        <v>3.6</v>
      </c>
      <c r="F1597" s="109"/>
      <c r="G1597" s="109">
        <v>3.1</v>
      </c>
      <c r="H1597" s="89">
        <f t="shared" si="309"/>
        <v>22.32</v>
      </c>
      <c r="I1597" s="89"/>
      <c r="K1597" s="157"/>
      <c r="L1597" s="157"/>
      <c r="M1597" s="158"/>
      <c r="O1597" s="82">
        <f t="shared" si="298"/>
        <v>0</v>
      </c>
    </row>
    <row r="1598" spans="1:15" s="5" customFormat="1" ht="16.149999999999999" customHeight="1" x14ac:dyDescent="0.2">
      <c r="A1598" s="30"/>
      <c r="B1598" s="44"/>
      <c r="C1598" s="41"/>
      <c r="D1598" s="41">
        <v>2</v>
      </c>
      <c r="E1598" s="109">
        <v>4.3</v>
      </c>
      <c r="F1598" s="109"/>
      <c r="G1598" s="109">
        <v>3.1</v>
      </c>
      <c r="H1598" s="89">
        <f t="shared" si="309"/>
        <v>26.66</v>
      </c>
      <c r="I1598" s="89"/>
      <c r="K1598" s="157"/>
      <c r="L1598" s="157"/>
      <c r="M1598" s="158"/>
      <c r="O1598" s="82">
        <f t="shared" si="298"/>
        <v>0</v>
      </c>
    </row>
    <row r="1599" spans="1:15" s="5" customFormat="1" ht="16.149999999999999" customHeight="1" x14ac:dyDescent="0.2">
      <c r="A1599" s="30"/>
      <c r="B1599" s="44"/>
      <c r="C1599" s="41"/>
      <c r="D1599" s="41">
        <v>2</v>
      </c>
      <c r="E1599" s="109">
        <v>1.3</v>
      </c>
      <c r="F1599" s="109"/>
      <c r="G1599" s="109">
        <v>3.1</v>
      </c>
      <c r="H1599" s="89">
        <f t="shared" si="309"/>
        <v>8.06</v>
      </c>
      <c r="I1599" s="89"/>
      <c r="K1599" s="157"/>
      <c r="L1599" s="157"/>
      <c r="M1599" s="158"/>
      <c r="O1599" s="82">
        <f t="shared" si="298"/>
        <v>0</v>
      </c>
    </row>
    <row r="1600" spans="1:15" s="5" customFormat="1" ht="16.149999999999999" customHeight="1" x14ac:dyDescent="0.2">
      <c r="A1600" s="30"/>
      <c r="B1600" s="110" t="s">
        <v>480</v>
      </c>
      <c r="C1600" s="41"/>
      <c r="D1600" s="41"/>
      <c r="E1600" s="109"/>
      <c r="F1600" s="109"/>
      <c r="G1600" s="109"/>
      <c r="H1600" s="89"/>
      <c r="I1600" s="89"/>
      <c r="K1600" s="157"/>
      <c r="L1600" s="157"/>
      <c r="M1600" s="158"/>
      <c r="O1600" s="82">
        <f t="shared" si="298"/>
        <v>0</v>
      </c>
    </row>
    <row r="1601" spans="1:15" ht="15.95" customHeight="1" x14ac:dyDescent="0.2">
      <c r="A1601" s="30"/>
      <c r="B1601" s="41" t="s">
        <v>481</v>
      </c>
      <c r="C1601" s="41"/>
      <c r="D1601" s="41">
        <v>-1</v>
      </c>
      <c r="E1601" s="90">
        <v>2</v>
      </c>
      <c r="F1601" s="90"/>
      <c r="G1601" s="90">
        <v>2.2000000000000002</v>
      </c>
      <c r="H1601" s="89">
        <f t="shared" ref="H1601:H1603" si="310">PRODUCT(D1601:G1601)</f>
        <v>-4.4000000000000004</v>
      </c>
      <c r="I1601" s="89"/>
      <c r="J1601" s="108"/>
      <c r="K1601" s="157"/>
      <c r="L1601" s="157"/>
      <c r="M1601" s="158"/>
      <c r="O1601" s="82">
        <f t="shared" si="298"/>
        <v>0</v>
      </c>
    </row>
    <row r="1602" spans="1:15" ht="15.95" customHeight="1" x14ac:dyDescent="0.2">
      <c r="A1602" s="30"/>
      <c r="B1602" s="41" t="s">
        <v>481</v>
      </c>
      <c r="C1602" s="41"/>
      <c r="D1602" s="41">
        <v>-3</v>
      </c>
      <c r="E1602" s="90">
        <v>0.9</v>
      </c>
      <c r="F1602" s="90"/>
      <c r="G1602" s="90">
        <v>2.2000000000000002</v>
      </c>
      <c r="H1602" s="89">
        <f t="shared" si="310"/>
        <v>-5.9400000000000013</v>
      </c>
      <c r="I1602" s="89"/>
      <c r="J1602" s="108"/>
      <c r="K1602" s="157"/>
      <c r="L1602" s="157"/>
      <c r="M1602" s="158"/>
      <c r="O1602" s="82">
        <f t="shared" si="298"/>
        <v>0</v>
      </c>
    </row>
    <row r="1603" spans="1:15" ht="15.95" customHeight="1" x14ac:dyDescent="0.2">
      <c r="A1603" s="30"/>
      <c r="B1603" s="41"/>
      <c r="C1603" s="41"/>
      <c r="D1603" s="41">
        <v>-2</v>
      </c>
      <c r="E1603" s="90">
        <v>0.8</v>
      </c>
      <c r="F1603" s="90"/>
      <c r="G1603" s="90">
        <v>2.2000000000000002</v>
      </c>
      <c r="H1603" s="89">
        <f t="shared" si="310"/>
        <v>-3.5200000000000005</v>
      </c>
      <c r="I1603" s="89"/>
      <c r="J1603" s="108"/>
      <c r="K1603" s="157"/>
      <c r="L1603" s="157"/>
      <c r="M1603" s="158"/>
      <c r="O1603" s="82">
        <f t="shared" si="298"/>
        <v>0</v>
      </c>
    </row>
    <row r="1604" spans="1:15" ht="15.95" customHeight="1" x14ac:dyDescent="0.2">
      <c r="A1604" s="30"/>
      <c r="B1604" s="46"/>
      <c r="C1604" s="41"/>
      <c r="D1604" s="41"/>
      <c r="E1604" s="90"/>
      <c r="F1604" s="90"/>
      <c r="G1604" s="90"/>
      <c r="H1604" s="89"/>
      <c r="I1604" s="90">
        <f>SUM(H1577:H1604)</f>
        <v>181.35999999999999</v>
      </c>
      <c r="J1604" s="90"/>
      <c r="K1604" s="157"/>
      <c r="L1604" s="157"/>
      <c r="M1604" s="158"/>
      <c r="O1604" s="82">
        <f t="shared" si="298"/>
        <v>0</v>
      </c>
    </row>
    <row r="1605" spans="1:15" ht="15.95" customHeight="1" x14ac:dyDescent="0.2">
      <c r="A1605" s="30"/>
      <c r="B1605" s="46"/>
      <c r="C1605" s="41"/>
      <c r="D1605" s="41"/>
      <c r="E1605" s="90"/>
      <c r="F1605" s="90"/>
      <c r="G1605" s="90"/>
      <c r="H1605" s="89"/>
      <c r="I1605" s="90"/>
      <c r="J1605" s="90"/>
      <c r="K1605" s="157"/>
      <c r="L1605" s="157"/>
      <c r="M1605" s="158"/>
      <c r="O1605" s="82">
        <f t="shared" si="298"/>
        <v>0</v>
      </c>
    </row>
    <row r="1606" spans="1:15" s="5" customFormat="1" ht="16.149999999999999" customHeight="1" x14ac:dyDescent="0.2">
      <c r="A1606" s="30"/>
      <c r="B1606" s="98" t="s">
        <v>530</v>
      </c>
      <c r="C1606" s="32"/>
      <c r="D1606" s="32"/>
      <c r="E1606" s="89"/>
      <c r="F1606" s="89"/>
      <c r="G1606" s="89"/>
      <c r="H1606" s="89">
        <f t="shared" ref="H1606:H1616" si="311">PRODUCT(D1606:G1606)</f>
        <v>0</v>
      </c>
      <c r="I1606" s="89"/>
      <c r="J1606" s="89"/>
      <c r="K1606" s="157"/>
      <c r="L1606" s="157"/>
      <c r="M1606" s="158"/>
      <c r="O1606" s="82">
        <f t="shared" si="298"/>
        <v>0</v>
      </c>
    </row>
    <row r="1607" spans="1:15" s="5" customFormat="1" ht="16.149999999999999" customHeight="1" x14ac:dyDescent="0.2">
      <c r="A1607" s="30"/>
      <c r="B1607" s="44" t="s">
        <v>540</v>
      </c>
      <c r="C1607" s="41"/>
      <c r="D1607" s="41">
        <v>2</v>
      </c>
      <c r="E1607" s="109">
        <v>3.17</v>
      </c>
      <c r="F1607" s="109"/>
      <c r="G1607" s="109">
        <v>3.1</v>
      </c>
      <c r="H1607" s="89">
        <f t="shared" si="311"/>
        <v>19.654</v>
      </c>
      <c r="I1607" s="89"/>
      <c r="K1607" s="157"/>
      <c r="L1607" s="157"/>
      <c r="M1607" s="158"/>
      <c r="O1607" s="82">
        <f t="shared" si="298"/>
        <v>0</v>
      </c>
    </row>
    <row r="1608" spans="1:15" ht="15.95" customHeight="1" x14ac:dyDescent="0.2">
      <c r="A1608" s="30"/>
      <c r="B1608" s="46"/>
      <c r="C1608" s="41"/>
      <c r="D1608" s="41">
        <v>2</v>
      </c>
      <c r="E1608" s="90">
        <v>3.17</v>
      </c>
      <c r="F1608" s="90"/>
      <c r="G1608" s="109">
        <v>3.1</v>
      </c>
      <c r="H1608" s="89">
        <f t="shared" si="311"/>
        <v>19.654</v>
      </c>
      <c r="I1608" s="90"/>
      <c r="J1608" s="90"/>
      <c r="K1608" s="157"/>
      <c r="L1608" s="157"/>
      <c r="M1608" s="158"/>
      <c r="O1608" s="82">
        <f t="shared" si="298"/>
        <v>0</v>
      </c>
    </row>
    <row r="1609" spans="1:15" s="5" customFormat="1" ht="16.149999999999999" customHeight="1" x14ac:dyDescent="0.2">
      <c r="A1609" s="30"/>
      <c r="B1609" s="110" t="s">
        <v>480</v>
      </c>
      <c r="C1609" s="41"/>
      <c r="D1609" s="41"/>
      <c r="E1609" s="109"/>
      <c r="F1609" s="109"/>
      <c r="G1609" s="109"/>
      <c r="H1609" s="89">
        <f t="shared" si="311"/>
        <v>0</v>
      </c>
      <c r="I1609" s="89"/>
      <c r="K1609" s="157"/>
      <c r="L1609" s="157"/>
      <c r="M1609" s="158"/>
      <c r="O1609" s="82">
        <f t="shared" si="298"/>
        <v>0</v>
      </c>
    </row>
    <row r="1610" spans="1:15" ht="15.95" customHeight="1" x14ac:dyDescent="0.2">
      <c r="A1610" s="30"/>
      <c r="B1610" s="41" t="s">
        <v>424</v>
      </c>
      <c r="C1610" s="41"/>
      <c r="D1610" s="41">
        <v>-1</v>
      </c>
      <c r="E1610" s="90">
        <v>0.9</v>
      </c>
      <c r="F1610" s="90"/>
      <c r="G1610" s="90">
        <v>1.2</v>
      </c>
      <c r="H1610" s="89">
        <f t="shared" si="311"/>
        <v>-1.08</v>
      </c>
      <c r="I1610" s="89"/>
      <c r="J1610" s="90"/>
      <c r="K1610" s="157"/>
      <c r="L1610" s="157"/>
      <c r="M1610" s="158"/>
      <c r="O1610" s="82">
        <f t="shared" si="298"/>
        <v>0</v>
      </c>
    </row>
    <row r="1611" spans="1:15" ht="15.95" customHeight="1" x14ac:dyDescent="0.2">
      <c r="A1611" s="30"/>
      <c r="B1611" s="41" t="s">
        <v>481</v>
      </c>
      <c r="C1611" s="41"/>
      <c r="D1611" s="41">
        <v>-1</v>
      </c>
      <c r="E1611" s="90">
        <v>0.9</v>
      </c>
      <c r="F1611" s="90"/>
      <c r="G1611" s="90">
        <v>2.2000000000000002</v>
      </c>
      <c r="H1611" s="89">
        <f t="shared" si="311"/>
        <v>-1.9800000000000002</v>
      </c>
      <c r="I1611" s="89"/>
      <c r="J1611" s="108"/>
      <c r="K1611" s="157"/>
      <c r="L1611" s="157"/>
      <c r="M1611" s="158"/>
      <c r="O1611" s="82">
        <f t="shared" ref="O1611:O1674" si="312">K1611-J1611</f>
        <v>0</v>
      </c>
    </row>
    <row r="1612" spans="1:15" s="5" customFormat="1" ht="16.149999999999999" customHeight="1" x14ac:dyDescent="0.2">
      <c r="A1612" s="30"/>
      <c r="B1612" s="44" t="s">
        <v>542</v>
      </c>
      <c r="C1612" s="41"/>
      <c r="D1612" s="41">
        <v>2</v>
      </c>
      <c r="E1612" s="109">
        <v>3.1</v>
      </c>
      <c r="F1612" s="109"/>
      <c r="G1612" s="109">
        <v>3.1</v>
      </c>
      <c r="H1612" s="89">
        <f t="shared" si="311"/>
        <v>19.220000000000002</v>
      </c>
      <c r="I1612" s="89"/>
      <c r="K1612" s="157"/>
      <c r="L1612" s="157"/>
      <c r="M1612" s="158"/>
      <c r="O1612" s="82">
        <f t="shared" si="312"/>
        <v>0</v>
      </c>
    </row>
    <row r="1613" spans="1:15" ht="15.95" customHeight="1" x14ac:dyDescent="0.2">
      <c r="A1613" s="30"/>
      <c r="B1613" s="46"/>
      <c r="C1613" s="41"/>
      <c r="D1613" s="41">
        <v>2</v>
      </c>
      <c r="E1613" s="90">
        <v>2.9</v>
      </c>
      <c r="F1613" s="90"/>
      <c r="G1613" s="109">
        <v>3.1</v>
      </c>
      <c r="H1613" s="89">
        <f t="shared" si="311"/>
        <v>17.98</v>
      </c>
      <c r="I1613" s="90"/>
      <c r="J1613" s="90"/>
      <c r="K1613" s="157"/>
      <c r="L1613" s="157"/>
      <c r="M1613" s="158"/>
      <c r="O1613" s="82">
        <f t="shared" si="312"/>
        <v>0</v>
      </c>
    </row>
    <row r="1614" spans="1:15" s="5" customFormat="1" ht="16.149999999999999" customHeight="1" x14ac:dyDescent="0.2">
      <c r="A1614" s="30"/>
      <c r="B1614" s="110" t="s">
        <v>480</v>
      </c>
      <c r="C1614" s="41"/>
      <c r="D1614" s="41"/>
      <c r="E1614" s="109"/>
      <c r="F1614" s="109"/>
      <c r="G1614" s="109"/>
      <c r="H1614" s="89">
        <f t="shared" si="311"/>
        <v>0</v>
      </c>
      <c r="I1614" s="89"/>
      <c r="K1614" s="157"/>
      <c r="L1614" s="157"/>
      <c r="M1614" s="158"/>
      <c r="O1614" s="82">
        <f t="shared" si="312"/>
        <v>0</v>
      </c>
    </row>
    <row r="1615" spans="1:15" ht="15.95" customHeight="1" x14ac:dyDescent="0.2">
      <c r="A1615" s="30"/>
      <c r="B1615" s="41" t="s">
        <v>424</v>
      </c>
      <c r="C1615" s="41"/>
      <c r="D1615" s="41">
        <v>-1</v>
      </c>
      <c r="E1615" s="90">
        <v>0.9</v>
      </c>
      <c r="F1615" s="90"/>
      <c r="G1615" s="90">
        <v>1.2</v>
      </c>
      <c r="H1615" s="89">
        <f t="shared" si="311"/>
        <v>-1.08</v>
      </c>
      <c r="I1615" s="89"/>
      <c r="J1615" s="90"/>
      <c r="K1615" s="157"/>
      <c r="L1615" s="157"/>
      <c r="M1615" s="158"/>
      <c r="O1615" s="82">
        <f t="shared" si="312"/>
        <v>0</v>
      </c>
    </row>
    <row r="1616" spans="1:15" ht="15.95" customHeight="1" x14ac:dyDescent="0.2">
      <c r="A1616" s="30"/>
      <c r="B1616" s="41" t="s">
        <v>481</v>
      </c>
      <c r="C1616" s="41"/>
      <c r="D1616" s="41">
        <v>-1</v>
      </c>
      <c r="E1616" s="90">
        <v>0.9</v>
      </c>
      <c r="F1616" s="90"/>
      <c r="G1616" s="90">
        <v>2.2000000000000002</v>
      </c>
      <c r="H1616" s="89">
        <f t="shared" si="311"/>
        <v>-1.9800000000000002</v>
      </c>
      <c r="I1616" s="89"/>
      <c r="J1616" s="108"/>
      <c r="K1616" s="157"/>
      <c r="L1616" s="157"/>
      <c r="M1616" s="158"/>
      <c r="O1616" s="82">
        <f t="shared" si="312"/>
        <v>0</v>
      </c>
    </row>
    <row r="1617" spans="1:15" ht="15.95" customHeight="1" x14ac:dyDescent="0.2">
      <c r="A1617" s="30"/>
      <c r="B1617" s="41"/>
      <c r="C1617" s="41"/>
      <c r="D1617" s="41"/>
      <c r="E1617" s="90"/>
      <c r="F1617" s="90"/>
      <c r="G1617" s="90"/>
      <c r="H1617" s="89"/>
      <c r="I1617" s="89"/>
      <c r="J1617" s="108"/>
      <c r="K1617" s="157"/>
      <c r="L1617" s="157"/>
      <c r="M1617" s="158"/>
      <c r="O1617" s="82">
        <f t="shared" si="312"/>
        <v>0</v>
      </c>
    </row>
    <row r="1618" spans="1:15" s="5" customFormat="1" ht="16.149999999999999" customHeight="1" x14ac:dyDescent="0.2">
      <c r="A1618" s="30"/>
      <c r="B1618" s="44" t="s">
        <v>548</v>
      </c>
      <c r="C1618" s="41"/>
      <c r="D1618" s="41">
        <v>2</v>
      </c>
      <c r="E1618" s="109">
        <v>1.2</v>
      </c>
      <c r="F1618" s="109"/>
      <c r="G1618" s="109">
        <v>3.1</v>
      </c>
      <c r="H1618" s="89">
        <f t="shared" ref="H1618:H1635" si="313">PRODUCT(D1618:G1618)</f>
        <v>7.4399999999999995</v>
      </c>
      <c r="I1618" s="89"/>
      <c r="K1618" s="157"/>
      <c r="L1618" s="157"/>
      <c r="M1618" s="158"/>
      <c r="O1618" s="82">
        <f t="shared" si="312"/>
        <v>0</v>
      </c>
    </row>
    <row r="1619" spans="1:15" ht="15.95" customHeight="1" x14ac:dyDescent="0.2">
      <c r="A1619" s="30"/>
      <c r="B1619" s="46"/>
      <c r="C1619" s="41"/>
      <c r="D1619" s="41">
        <v>2</v>
      </c>
      <c r="E1619" s="90">
        <v>2.85</v>
      </c>
      <c r="F1619" s="90"/>
      <c r="G1619" s="109">
        <v>3.1</v>
      </c>
      <c r="H1619" s="89">
        <f t="shared" si="313"/>
        <v>17.670000000000002</v>
      </c>
      <c r="I1619" s="90"/>
      <c r="J1619" s="90"/>
      <c r="K1619" s="157"/>
      <c r="L1619" s="157"/>
      <c r="M1619" s="158"/>
      <c r="O1619" s="82">
        <f t="shared" si="312"/>
        <v>0</v>
      </c>
    </row>
    <row r="1620" spans="1:15" s="5" customFormat="1" ht="16.149999999999999" customHeight="1" x14ac:dyDescent="0.2">
      <c r="A1620" s="30"/>
      <c r="B1620" s="110" t="s">
        <v>480</v>
      </c>
      <c r="C1620" s="41"/>
      <c r="D1620" s="41"/>
      <c r="E1620" s="109"/>
      <c r="F1620" s="109"/>
      <c r="G1620" s="109"/>
      <c r="H1620" s="89">
        <f t="shared" si="313"/>
        <v>0</v>
      </c>
      <c r="I1620" s="89"/>
      <c r="K1620" s="157"/>
      <c r="L1620" s="157"/>
      <c r="M1620" s="158"/>
      <c r="O1620" s="82">
        <f t="shared" si="312"/>
        <v>0</v>
      </c>
    </row>
    <row r="1621" spans="1:15" ht="15.95" customHeight="1" x14ac:dyDescent="0.2">
      <c r="A1621" s="30"/>
      <c r="B1621" s="41" t="s">
        <v>424</v>
      </c>
      <c r="C1621" s="41"/>
      <c r="D1621" s="41">
        <v>-1</v>
      </c>
      <c r="E1621" s="90">
        <v>0.9</v>
      </c>
      <c r="F1621" s="90"/>
      <c r="G1621" s="90">
        <v>1.2</v>
      </c>
      <c r="H1621" s="89">
        <f t="shared" si="313"/>
        <v>-1.08</v>
      </c>
      <c r="I1621" s="89"/>
      <c r="J1621" s="90"/>
      <c r="K1621" s="157"/>
      <c r="L1621" s="157"/>
      <c r="M1621" s="158"/>
      <c r="O1621" s="82">
        <f t="shared" si="312"/>
        <v>0</v>
      </c>
    </row>
    <row r="1622" spans="1:15" ht="15.95" customHeight="1" x14ac:dyDescent="0.2">
      <c r="A1622" s="30"/>
      <c r="B1622" s="41" t="s">
        <v>481</v>
      </c>
      <c r="C1622" s="41"/>
      <c r="D1622" s="41">
        <v>-1</v>
      </c>
      <c r="E1622" s="90">
        <v>0.9</v>
      </c>
      <c r="F1622" s="90"/>
      <c r="G1622" s="90">
        <v>2.2000000000000002</v>
      </c>
      <c r="H1622" s="89">
        <f t="shared" si="313"/>
        <v>-1.9800000000000002</v>
      </c>
      <c r="I1622" s="89"/>
      <c r="J1622" s="108"/>
      <c r="K1622" s="157"/>
      <c r="L1622" s="157"/>
      <c r="M1622" s="158"/>
      <c r="O1622" s="82">
        <f t="shared" si="312"/>
        <v>0</v>
      </c>
    </row>
    <row r="1623" spans="1:15" s="5" customFormat="1" ht="16.149999999999999" customHeight="1" x14ac:dyDescent="0.2">
      <c r="A1623" s="30"/>
      <c r="B1623" s="44" t="s">
        <v>544</v>
      </c>
      <c r="C1623" s="41"/>
      <c r="D1623" s="41">
        <v>2</v>
      </c>
      <c r="E1623" s="109">
        <v>3.92</v>
      </c>
      <c r="F1623" s="109"/>
      <c r="G1623" s="109">
        <v>3.1</v>
      </c>
      <c r="H1623" s="89">
        <f t="shared" si="313"/>
        <v>24.303999999999998</v>
      </c>
      <c r="I1623" s="89"/>
      <c r="K1623" s="157"/>
      <c r="L1623" s="157"/>
      <c r="M1623" s="158"/>
      <c r="O1623" s="82">
        <f t="shared" si="312"/>
        <v>0</v>
      </c>
    </row>
    <row r="1624" spans="1:15" ht="15.95" customHeight="1" x14ac:dyDescent="0.2">
      <c r="A1624" s="30"/>
      <c r="B1624" s="46"/>
      <c r="C1624" s="41"/>
      <c r="D1624" s="41">
        <v>2</v>
      </c>
      <c r="E1624" s="90">
        <v>3.2</v>
      </c>
      <c r="F1624" s="90"/>
      <c r="G1624" s="109">
        <v>3.1</v>
      </c>
      <c r="H1624" s="89">
        <f t="shared" si="313"/>
        <v>19.840000000000003</v>
      </c>
      <c r="I1624" s="90"/>
      <c r="J1624" s="90"/>
      <c r="K1624" s="157"/>
      <c r="L1624" s="157"/>
      <c r="M1624" s="158"/>
      <c r="O1624" s="82">
        <f t="shared" si="312"/>
        <v>0</v>
      </c>
    </row>
    <row r="1625" spans="1:15" ht="15.95" customHeight="1" x14ac:dyDescent="0.2">
      <c r="A1625" s="30"/>
      <c r="B1625" s="46"/>
      <c r="C1625" s="41"/>
      <c r="D1625" s="41">
        <v>2</v>
      </c>
      <c r="E1625" s="90">
        <v>0.75</v>
      </c>
      <c r="F1625" s="90"/>
      <c r="G1625" s="109">
        <v>1.25</v>
      </c>
      <c r="H1625" s="89">
        <f t="shared" si="313"/>
        <v>1.875</v>
      </c>
      <c r="I1625" s="90"/>
      <c r="J1625" s="90"/>
      <c r="K1625" s="157"/>
      <c r="L1625" s="157"/>
      <c r="M1625" s="158"/>
      <c r="O1625" s="82">
        <f t="shared" si="312"/>
        <v>0</v>
      </c>
    </row>
    <row r="1626" spans="1:15" s="5" customFormat="1" ht="16.149999999999999" customHeight="1" x14ac:dyDescent="0.2">
      <c r="A1626" s="30"/>
      <c r="B1626" s="110" t="s">
        <v>480</v>
      </c>
      <c r="C1626" s="41"/>
      <c r="D1626" s="41"/>
      <c r="E1626" s="109"/>
      <c r="F1626" s="109"/>
      <c r="G1626" s="109"/>
      <c r="H1626" s="89">
        <f t="shared" si="313"/>
        <v>0</v>
      </c>
      <c r="I1626" s="89"/>
      <c r="K1626" s="157"/>
      <c r="L1626" s="157"/>
      <c r="M1626" s="158"/>
      <c r="O1626" s="82">
        <f t="shared" si="312"/>
        <v>0</v>
      </c>
    </row>
    <row r="1627" spans="1:15" ht="15.95" customHeight="1" x14ac:dyDescent="0.2">
      <c r="A1627" s="30"/>
      <c r="B1627" s="41" t="s">
        <v>424</v>
      </c>
      <c r="C1627" s="41"/>
      <c r="D1627" s="41">
        <v>-2</v>
      </c>
      <c r="E1627" s="90">
        <v>0.9</v>
      </c>
      <c r="F1627" s="90"/>
      <c r="G1627" s="90">
        <v>1.2</v>
      </c>
      <c r="H1627" s="89">
        <f t="shared" si="313"/>
        <v>-2.16</v>
      </c>
      <c r="I1627" s="89"/>
      <c r="J1627" s="90"/>
      <c r="K1627" s="157"/>
      <c r="L1627" s="157"/>
      <c r="M1627" s="158"/>
      <c r="O1627" s="82">
        <f t="shared" si="312"/>
        <v>0</v>
      </c>
    </row>
    <row r="1628" spans="1:15" ht="15.95" customHeight="1" x14ac:dyDescent="0.2">
      <c r="A1628" s="30"/>
      <c r="B1628" s="41" t="s">
        <v>481</v>
      </c>
      <c r="C1628" s="41"/>
      <c r="D1628" s="41">
        <v>-1</v>
      </c>
      <c r="E1628" s="90">
        <v>1.2</v>
      </c>
      <c r="F1628" s="90"/>
      <c r="G1628" s="90">
        <v>2.2000000000000002</v>
      </c>
      <c r="H1628" s="89">
        <f t="shared" si="313"/>
        <v>-2.64</v>
      </c>
      <c r="I1628" s="89"/>
      <c r="J1628" s="108"/>
      <c r="K1628" s="157"/>
      <c r="L1628" s="157"/>
      <c r="M1628" s="158"/>
      <c r="O1628" s="82">
        <f t="shared" si="312"/>
        <v>0</v>
      </c>
    </row>
    <row r="1629" spans="1:15" s="5" customFormat="1" ht="16.149999999999999" customHeight="1" x14ac:dyDescent="0.2">
      <c r="A1629" s="30"/>
      <c r="B1629" s="44" t="s">
        <v>546</v>
      </c>
      <c r="C1629" s="41"/>
      <c r="D1629" s="41">
        <v>2</v>
      </c>
      <c r="E1629" s="109">
        <v>4.0999999999999996</v>
      </c>
      <c r="F1629" s="109"/>
      <c r="G1629" s="109">
        <v>3.1</v>
      </c>
      <c r="H1629" s="89">
        <f t="shared" si="313"/>
        <v>25.419999999999998</v>
      </c>
      <c r="I1629" s="89"/>
      <c r="K1629" s="157"/>
      <c r="L1629" s="157"/>
      <c r="M1629" s="158"/>
      <c r="O1629" s="82">
        <f t="shared" si="312"/>
        <v>0</v>
      </c>
    </row>
    <row r="1630" spans="1:15" ht="15.95" customHeight="1" x14ac:dyDescent="0.2">
      <c r="A1630" s="30"/>
      <c r="B1630" s="46"/>
      <c r="C1630" s="41"/>
      <c r="D1630" s="41">
        <v>1</v>
      </c>
      <c r="E1630" s="90">
        <v>3.5</v>
      </c>
      <c r="F1630" s="90"/>
      <c r="G1630" s="109">
        <v>3.1</v>
      </c>
      <c r="H1630" s="89">
        <f t="shared" si="313"/>
        <v>10.85</v>
      </c>
      <c r="I1630" s="90"/>
      <c r="J1630" s="90"/>
      <c r="K1630" s="157"/>
      <c r="L1630" s="157"/>
      <c r="M1630" s="158"/>
      <c r="O1630" s="82">
        <f t="shared" si="312"/>
        <v>0</v>
      </c>
    </row>
    <row r="1631" spans="1:15" ht="15.95" customHeight="1" x14ac:dyDescent="0.2">
      <c r="A1631" s="30"/>
      <c r="B1631" s="46"/>
      <c r="C1631" s="41"/>
      <c r="D1631" s="41">
        <v>4</v>
      </c>
      <c r="E1631" s="90">
        <v>1.25</v>
      </c>
      <c r="F1631" s="90"/>
      <c r="G1631" s="109">
        <v>3.1</v>
      </c>
      <c r="H1631" s="89">
        <f t="shared" si="313"/>
        <v>15.5</v>
      </c>
      <c r="I1631" s="90"/>
      <c r="J1631" s="90"/>
      <c r="K1631" s="157"/>
      <c r="L1631" s="157"/>
      <c r="M1631" s="158"/>
      <c r="O1631" s="82">
        <f t="shared" si="312"/>
        <v>0</v>
      </c>
    </row>
    <row r="1632" spans="1:15" s="5" customFormat="1" ht="16.149999999999999" customHeight="1" x14ac:dyDescent="0.2">
      <c r="A1632" s="30"/>
      <c r="B1632" s="110" t="s">
        <v>480</v>
      </c>
      <c r="C1632" s="41"/>
      <c r="D1632" s="41"/>
      <c r="E1632" s="109"/>
      <c r="F1632" s="109"/>
      <c r="G1632" s="109"/>
      <c r="H1632" s="89">
        <f t="shared" si="313"/>
        <v>0</v>
      </c>
      <c r="I1632" s="90"/>
      <c r="J1632" s="90"/>
      <c r="K1632" s="157"/>
      <c r="L1632" s="157"/>
      <c r="M1632" s="158"/>
      <c r="O1632" s="82">
        <f t="shared" si="312"/>
        <v>0</v>
      </c>
    </row>
    <row r="1633" spans="1:15" ht="15.95" customHeight="1" x14ac:dyDescent="0.2">
      <c r="A1633" s="30"/>
      <c r="B1633" s="41" t="s">
        <v>424</v>
      </c>
      <c r="C1633" s="41"/>
      <c r="D1633" s="41">
        <v>-1</v>
      </c>
      <c r="E1633" s="90">
        <v>0.9</v>
      </c>
      <c r="F1633" s="90"/>
      <c r="G1633" s="90">
        <v>1.2</v>
      </c>
      <c r="H1633" s="89">
        <f t="shared" si="313"/>
        <v>-1.08</v>
      </c>
      <c r="I1633" s="90"/>
      <c r="J1633" s="90"/>
      <c r="K1633" s="157"/>
      <c r="L1633" s="157"/>
      <c r="M1633" s="158"/>
      <c r="O1633" s="82">
        <f t="shared" si="312"/>
        <v>0</v>
      </c>
    </row>
    <row r="1634" spans="1:15" s="5" customFormat="1" ht="16.149999999999999" customHeight="1" x14ac:dyDescent="0.2">
      <c r="A1634" s="30"/>
      <c r="B1634" s="44" t="s">
        <v>496</v>
      </c>
      <c r="C1634" s="41"/>
      <c r="D1634" s="41">
        <v>2</v>
      </c>
      <c r="E1634" s="109">
        <v>1.7</v>
      </c>
      <c r="F1634" s="109"/>
      <c r="G1634" s="109">
        <v>3.1</v>
      </c>
      <c r="H1634" s="89">
        <f t="shared" si="313"/>
        <v>10.54</v>
      </c>
      <c r="I1634" s="89"/>
      <c r="K1634" s="157"/>
      <c r="L1634" s="157"/>
      <c r="M1634" s="158"/>
      <c r="O1634" s="82">
        <f t="shared" si="312"/>
        <v>0</v>
      </c>
    </row>
    <row r="1635" spans="1:15" s="5" customFormat="1" ht="16.149999999999999" customHeight="1" x14ac:dyDescent="0.2">
      <c r="A1635" s="30"/>
      <c r="B1635" s="44"/>
      <c r="C1635" s="41"/>
      <c r="D1635" s="41">
        <v>2</v>
      </c>
      <c r="E1635" s="109">
        <v>6.75</v>
      </c>
      <c r="F1635" s="109"/>
      <c r="G1635" s="109">
        <v>3.1</v>
      </c>
      <c r="H1635" s="89">
        <f t="shared" si="313"/>
        <v>41.85</v>
      </c>
      <c r="I1635" s="89"/>
      <c r="K1635" s="157"/>
      <c r="L1635" s="157"/>
      <c r="M1635" s="158"/>
      <c r="O1635" s="82">
        <f t="shared" si="312"/>
        <v>0</v>
      </c>
    </row>
    <row r="1636" spans="1:15" s="5" customFormat="1" ht="16.149999999999999" customHeight="1" x14ac:dyDescent="0.2">
      <c r="A1636" s="30"/>
      <c r="B1636" s="110" t="s">
        <v>480</v>
      </c>
      <c r="C1636" s="41"/>
      <c r="D1636" s="41"/>
      <c r="E1636" s="109"/>
      <c r="F1636" s="109"/>
      <c r="G1636" s="109"/>
      <c r="H1636" s="89"/>
      <c r="I1636" s="89"/>
      <c r="K1636" s="157"/>
      <c r="L1636" s="157"/>
      <c r="M1636" s="158"/>
      <c r="O1636" s="82">
        <f t="shared" si="312"/>
        <v>0</v>
      </c>
    </row>
    <row r="1637" spans="1:15" ht="15.95" customHeight="1" x14ac:dyDescent="0.2">
      <c r="A1637" s="30"/>
      <c r="B1637" s="41" t="s">
        <v>481</v>
      </c>
      <c r="C1637" s="41"/>
      <c r="D1637" s="41">
        <v>-1</v>
      </c>
      <c r="E1637" s="90">
        <v>1.2</v>
      </c>
      <c r="F1637" s="90"/>
      <c r="G1637" s="90">
        <v>2.2000000000000002</v>
      </c>
      <c r="H1637" s="89">
        <f t="shared" ref="H1637:H1639" si="314">PRODUCT(D1637:G1637)</f>
        <v>-2.64</v>
      </c>
      <c r="I1637" s="89"/>
      <c r="J1637" s="108"/>
      <c r="K1637" s="157"/>
      <c r="L1637" s="157"/>
      <c r="M1637" s="158"/>
      <c r="O1637" s="82">
        <f t="shared" si="312"/>
        <v>0</v>
      </c>
    </row>
    <row r="1638" spans="1:15" ht="15.95" customHeight="1" x14ac:dyDescent="0.2">
      <c r="A1638" s="30"/>
      <c r="B1638" s="41" t="s">
        <v>481</v>
      </c>
      <c r="C1638" s="41"/>
      <c r="D1638" s="41">
        <v>-3</v>
      </c>
      <c r="E1638" s="90">
        <v>0.9</v>
      </c>
      <c r="F1638" s="90"/>
      <c r="G1638" s="90">
        <v>2.2000000000000002</v>
      </c>
      <c r="H1638" s="89">
        <f t="shared" si="314"/>
        <v>-5.9400000000000013</v>
      </c>
      <c r="I1638" s="89"/>
      <c r="J1638" s="108"/>
      <c r="K1638" s="157"/>
      <c r="L1638" s="157"/>
      <c r="M1638" s="158"/>
      <c r="O1638" s="82">
        <f t="shared" si="312"/>
        <v>0</v>
      </c>
    </row>
    <row r="1639" spans="1:15" ht="15.95" customHeight="1" x14ac:dyDescent="0.2">
      <c r="A1639" s="30"/>
      <c r="B1639" s="41"/>
      <c r="C1639" s="41"/>
      <c r="D1639" s="41">
        <v>-2</v>
      </c>
      <c r="E1639" s="90">
        <v>0.8</v>
      </c>
      <c r="F1639" s="90"/>
      <c r="G1639" s="90">
        <v>2.2000000000000002</v>
      </c>
      <c r="H1639" s="89">
        <f t="shared" si="314"/>
        <v>-3.5200000000000005</v>
      </c>
      <c r="I1639" s="89"/>
      <c r="J1639" s="108"/>
      <c r="K1639" s="157"/>
      <c r="L1639" s="157"/>
      <c r="M1639" s="158"/>
      <c r="O1639" s="82">
        <f t="shared" si="312"/>
        <v>0</v>
      </c>
    </row>
    <row r="1640" spans="1:15" ht="15.95" customHeight="1" x14ac:dyDescent="0.2">
      <c r="A1640" s="30"/>
      <c r="B1640" s="41"/>
      <c r="C1640" s="41"/>
      <c r="D1640" s="41"/>
      <c r="E1640" s="90"/>
      <c r="F1640" s="90"/>
      <c r="G1640" s="90"/>
      <c r="H1640" s="89"/>
      <c r="I1640" s="89">
        <f>SUM(H1606:H1639)</f>
        <v>224.63699999999997</v>
      </c>
      <c r="J1640" s="108"/>
      <c r="K1640" s="157"/>
      <c r="L1640" s="157"/>
      <c r="M1640" s="158"/>
      <c r="O1640" s="82">
        <f t="shared" si="312"/>
        <v>0</v>
      </c>
    </row>
    <row r="1641" spans="1:15" s="5" customFormat="1" ht="16.149999999999999" customHeight="1" x14ac:dyDescent="0.2">
      <c r="A1641" s="30"/>
      <c r="B1641" s="98" t="s">
        <v>467</v>
      </c>
      <c r="C1641" s="32"/>
      <c r="D1641" s="32"/>
      <c r="E1641" s="89"/>
      <c r="F1641" s="89"/>
      <c r="G1641" s="89"/>
      <c r="H1641" s="89">
        <f t="shared" ref="H1641:H1646" si="315">PRODUCT(D1641:G1641)</f>
        <v>0</v>
      </c>
      <c r="I1641" s="89"/>
      <c r="J1641" s="89"/>
      <c r="K1641" s="157"/>
      <c r="L1641" s="157"/>
      <c r="M1641" s="158"/>
      <c r="O1641" s="82">
        <f t="shared" si="312"/>
        <v>0</v>
      </c>
    </row>
    <row r="1642" spans="1:15" ht="15.95" customHeight="1" x14ac:dyDescent="0.2">
      <c r="A1642" s="30"/>
      <c r="B1642" s="46"/>
      <c r="C1642" s="41"/>
      <c r="D1642" s="41">
        <v>2</v>
      </c>
      <c r="E1642" s="90">
        <v>2</v>
      </c>
      <c r="F1642" s="90"/>
      <c r="G1642" s="109">
        <v>3.1</v>
      </c>
      <c r="H1642" s="89">
        <f t="shared" si="315"/>
        <v>12.4</v>
      </c>
      <c r="I1642" s="90"/>
      <c r="J1642" s="90"/>
      <c r="K1642" s="157"/>
      <c r="L1642" s="157"/>
      <c r="M1642" s="158"/>
      <c r="O1642" s="82">
        <f t="shared" si="312"/>
        <v>0</v>
      </c>
    </row>
    <row r="1643" spans="1:15" ht="15.95" customHeight="1" x14ac:dyDescent="0.2">
      <c r="A1643" s="30"/>
      <c r="B1643" s="46"/>
      <c r="C1643" s="41"/>
      <c r="D1643" s="41">
        <v>2</v>
      </c>
      <c r="E1643" s="90">
        <v>3</v>
      </c>
      <c r="F1643" s="90"/>
      <c r="G1643" s="109">
        <v>3.1</v>
      </c>
      <c r="H1643" s="89">
        <f t="shared" si="315"/>
        <v>18.600000000000001</v>
      </c>
      <c r="I1643" s="90"/>
      <c r="J1643" s="108"/>
      <c r="K1643" s="157"/>
      <c r="L1643" s="157"/>
      <c r="M1643" s="158"/>
      <c r="O1643" s="82">
        <f t="shared" si="312"/>
        <v>0</v>
      </c>
    </row>
    <row r="1644" spans="1:15" s="5" customFormat="1" ht="16.149999999999999" customHeight="1" x14ac:dyDescent="0.2">
      <c r="A1644" s="30"/>
      <c r="B1644" s="110" t="s">
        <v>480</v>
      </c>
      <c r="C1644" s="41"/>
      <c r="D1644" s="41"/>
      <c r="E1644" s="109"/>
      <c r="F1644" s="109"/>
      <c r="G1644" s="109"/>
      <c r="H1644" s="89">
        <f t="shared" si="315"/>
        <v>0</v>
      </c>
      <c r="I1644" s="89"/>
      <c r="K1644" s="157"/>
      <c r="L1644" s="157"/>
      <c r="M1644" s="158"/>
      <c r="O1644" s="82">
        <f t="shared" si="312"/>
        <v>0</v>
      </c>
    </row>
    <row r="1645" spans="1:15" ht="15.95" customHeight="1" x14ac:dyDescent="0.2">
      <c r="A1645" s="30"/>
      <c r="B1645" s="41" t="s">
        <v>424</v>
      </c>
      <c r="C1645" s="41"/>
      <c r="D1645" s="41">
        <v>-2</v>
      </c>
      <c r="E1645" s="90">
        <v>0.9</v>
      </c>
      <c r="F1645" s="90"/>
      <c r="G1645" s="90">
        <v>1.2</v>
      </c>
      <c r="H1645" s="89">
        <f t="shared" si="315"/>
        <v>-2.16</v>
      </c>
      <c r="I1645" s="89"/>
      <c r="J1645" s="90"/>
      <c r="K1645" s="157"/>
      <c r="L1645" s="157"/>
      <c r="M1645" s="158"/>
      <c r="O1645" s="82">
        <f t="shared" si="312"/>
        <v>0</v>
      </c>
    </row>
    <row r="1646" spans="1:15" ht="15.95" customHeight="1" x14ac:dyDescent="0.2">
      <c r="A1646" s="30"/>
      <c r="B1646" s="41" t="s">
        <v>481</v>
      </c>
      <c r="C1646" s="41"/>
      <c r="D1646" s="41">
        <v>-1</v>
      </c>
      <c r="E1646" s="90">
        <v>0.9</v>
      </c>
      <c r="F1646" s="90"/>
      <c r="G1646" s="90">
        <v>2.2000000000000002</v>
      </c>
      <c r="H1646" s="89">
        <f t="shared" si="315"/>
        <v>-1.9800000000000002</v>
      </c>
      <c r="I1646" s="89"/>
      <c r="J1646" s="108"/>
      <c r="K1646" s="157"/>
      <c r="L1646" s="157"/>
      <c r="M1646" s="158"/>
      <c r="O1646" s="82">
        <f t="shared" si="312"/>
        <v>0</v>
      </c>
    </row>
    <row r="1647" spans="1:15" ht="15.95" customHeight="1" x14ac:dyDescent="0.2">
      <c r="A1647" s="40"/>
      <c r="B1647" s="46"/>
      <c r="C1647" s="41"/>
      <c r="D1647" s="41"/>
      <c r="E1647" s="90"/>
      <c r="F1647" s="90"/>
      <c r="G1647" s="90"/>
      <c r="H1647" s="90"/>
      <c r="I1647" s="90">
        <f>SUM(H1642:H1646)</f>
        <v>26.86</v>
      </c>
      <c r="J1647" s="90"/>
      <c r="K1647" s="163"/>
      <c r="L1647" s="163"/>
      <c r="M1647" s="158"/>
      <c r="O1647" s="82">
        <f t="shared" si="312"/>
        <v>0</v>
      </c>
    </row>
    <row r="1648" spans="1:15" x14ac:dyDescent="0.2">
      <c r="A1648" s="40"/>
      <c r="B1648" s="45"/>
      <c r="C1648" s="41"/>
      <c r="D1648" s="41"/>
      <c r="E1648" s="90"/>
      <c r="F1648" s="90"/>
      <c r="G1648" s="90"/>
      <c r="H1648" s="90"/>
      <c r="I1648" s="90"/>
      <c r="J1648" s="90"/>
      <c r="K1648" s="163"/>
      <c r="L1648" s="163"/>
      <c r="M1648" s="158"/>
      <c r="O1648" s="82">
        <f t="shared" si="312"/>
        <v>0</v>
      </c>
    </row>
    <row r="1649" spans="1:15" ht="16.5" customHeight="1" x14ac:dyDescent="0.2">
      <c r="A1649" s="40"/>
      <c r="B1649" s="45" t="s">
        <v>268</v>
      </c>
      <c r="C1649" s="41"/>
      <c r="D1649" s="41"/>
      <c r="E1649" s="90"/>
      <c r="F1649" s="90"/>
      <c r="G1649" s="90"/>
      <c r="H1649" s="90"/>
      <c r="I1649" s="90"/>
      <c r="J1649" s="90"/>
      <c r="K1649" s="163"/>
      <c r="L1649" s="163"/>
      <c r="M1649" s="158"/>
      <c r="O1649" s="82">
        <f t="shared" si="312"/>
        <v>0</v>
      </c>
    </row>
    <row r="1650" spans="1:15" s="5" customFormat="1" ht="16.149999999999999" customHeight="1" x14ac:dyDescent="0.2">
      <c r="A1650" s="30"/>
      <c r="B1650" s="98" t="s">
        <v>464</v>
      </c>
      <c r="C1650" s="32"/>
      <c r="D1650" s="32"/>
      <c r="E1650" s="89"/>
      <c r="F1650" s="89"/>
      <c r="G1650" s="89"/>
      <c r="H1650" s="89"/>
      <c r="I1650" s="89"/>
      <c r="K1650" s="157"/>
      <c r="L1650" s="157"/>
      <c r="M1650" s="158"/>
      <c r="O1650" s="82">
        <f t="shared" si="312"/>
        <v>0</v>
      </c>
    </row>
    <row r="1651" spans="1:15" s="5" customFormat="1" ht="16.149999999999999" customHeight="1" x14ac:dyDescent="0.2">
      <c r="A1651" s="30"/>
      <c r="B1651" s="105" t="s">
        <v>474</v>
      </c>
      <c r="C1651" s="32"/>
      <c r="D1651" s="32"/>
      <c r="E1651" s="89"/>
      <c r="F1651" s="89"/>
      <c r="G1651" s="89"/>
      <c r="I1651" s="89"/>
      <c r="K1651" s="157"/>
      <c r="L1651" s="157"/>
      <c r="M1651" s="158"/>
      <c r="O1651" s="82">
        <f t="shared" si="312"/>
        <v>0</v>
      </c>
    </row>
    <row r="1652" spans="1:15" s="5" customFormat="1" ht="16.149999999999999" customHeight="1" x14ac:dyDescent="0.2">
      <c r="A1652" s="30"/>
      <c r="B1652" s="44" t="s">
        <v>494</v>
      </c>
      <c r="C1652" s="41"/>
      <c r="D1652" s="41">
        <v>5</v>
      </c>
      <c r="E1652" s="109">
        <v>6.6</v>
      </c>
      <c r="F1652" s="109">
        <v>8.6300000000000008</v>
      </c>
      <c r="G1652" s="109"/>
      <c r="H1652" s="89">
        <f>PRODUCT(D1652:G1652)</f>
        <v>284.79000000000002</v>
      </c>
      <c r="I1652" s="89"/>
      <c r="K1652" s="157"/>
      <c r="L1652" s="157"/>
      <c r="M1652" s="158"/>
      <c r="O1652" s="82">
        <f t="shared" si="312"/>
        <v>0</v>
      </c>
    </row>
    <row r="1653" spans="1:15" s="5" customFormat="1" ht="16.149999999999999" customHeight="1" x14ac:dyDescent="0.2">
      <c r="A1653" s="30"/>
      <c r="B1653" s="44"/>
      <c r="C1653" s="41"/>
      <c r="D1653" s="41">
        <v>4</v>
      </c>
      <c r="E1653" s="109">
        <v>1.71</v>
      </c>
      <c r="F1653" s="109">
        <v>0.6</v>
      </c>
      <c r="G1653" s="109"/>
      <c r="H1653" s="89">
        <f t="shared" ref="H1653" si="316">PRODUCT(D1653:G1653)</f>
        <v>4.1040000000000001</v>
      </c>
      <c r="I1653" s="89"/>
      <c r="K1653" s="157"/>
      <c r="L1653" s="157"/>
      <c r="M1653" s="158"/>
      <c r="O1653" s="82">
        <f t="shared" si="312"/>
        <v>0</v>
      </c>
    </row>
    <row r="1654" spans="1:15" s="5" customFormat="1" ht="16.149999999999999" customHeight="1" x14ac:dyDescent="0.2">
      <c r="A1654" s="30"/>
      <c r="B1654" s="44" t="s">
        <v>495</v>
      </c>
      <c r="C1654" s="41"/>
      <c r="D1654" s="41">
        <v>4</v>
      </c>
      <c r="E1654" s="109">
        <v>4.2</v>
      </c>
      <c r="F1654" s="109">
        <v>3.4</v>
      </c>
      <c r="G1654" s="109"/>
      <c r="H1654" s="89">
        <f>PRODUCT(D1654:G1654)</f>
        <v>57.12</v>
      </c>
      <c r="I1654" s="89"/>
      <c r="K1654" s="157"/>
      <c r="L1654" s="157"/>
      <c r="M1654" s="158"/>
      <c r="O1654" s="82">
        <f t="shared" si="312"/>
        <v>0</v>
      </c>
    </row>
    <row r="1655" spans="1:15" s="5" customFormat="1" ht="16.149999999999999" customHeight="1" x14ac:dyDescent="0.2">
      <c r="A1655" s="30"/>
      <c r="B1655" s="44"/>
      <c r="C1655" s="41"/>
      <c r="D1655" s="41">
        <v>2</v>
      </c>
      <c r="E1655" s="109">
        <v>3.4</v>
      </c>
      <c r="F1655" s="109">
        <v>3.4</v>
      </c>
      <c r="G1655" s="109"/>
      <c r="H1655" s="89">
        <f>PRODUCT(D1655:G1655)</f>
        <v>23.119999999999997</v>
      </c>
      <c r="I1655" s="89"/>
      <c r="K1655" s="157"/>
      <c r="L1655" s="157"/>
      <c r="M1655" s="158"/>
      <c r="O1655" s="82">
        <f t="shared" si="312"/>
        <v>0</v>
      </c>
    </row>
    <row r="1656" spans="1:15" s="5" customFormat="1" ht="16.149999999999999" customHeight="1" x14ac:dyDescent="0.2">
      <c r="A1656" s="30"/>
      <c r="B1656" s="44" t="s">
        <v>497</v>
      </c>
      <c r="C1656" s="41"/>
      <c r="D1656" s="41">
        <v>1</v>
      </c>
      <c r="E1656" s="109">
        <v>34.200000000000003</v>
      </c>
      <c r="F1656" s="109">
        <v>2.2000000000000002</v>
      </c>
      <c r="G1656" s="109"/>
      <c r="H1656" s="89">
        <f>PRODUCT(D1656:G1656)</f>
        <v>75.240000000000009</v>
      </c>
      <c r="I1656" s="89"/>
      <c r="K1656" s="157"/>
      <c r="L1656" s="157"/>
      <c r="M1656" s="158"/>
      <c r="O1656" s="82">
        <f t="shared" si="312"/>
        <v>0</v>
      </c>
    </row>
    <row r="1657" spans="1:15" s="5" customFormat="1" ht="16.149999999999999" customHeight="1" x14ac:dyDescent="0.2">
      <c r="A1657" s="30"/>
      <c r="B1657" s="44"/>
      <c r="C1657" s="41"/>
      <c r="D1657" s="41">
        <v>6</v>
      </c>
      <c r="E1657" s="109">
        <v>2.2000000000000002</v>
      </c>
      <c r="F1657" s="109">
        <v>0.4</v>
      </c>
      <c r="G1657" s="109"/>
      <c r="H1657" s="89">
        <f t="shared" ref="H1657:H1658" si="317">PRODUCT(D1657:G1657)</f>
        <v>5.2800000000000011</v>
      </c>
      <c r="I1657" s="89"/>
      <c r="K1657" s="157"/>
      <c r="L1657" s="157"/>
      <c r="M1657" s="158"/>
      <c r="O1657" s="82">
        <f t="shared" si="312"/>
        <v>0</v>
      </c>
    </row>
    <row r="1658" spans="1:15" ht="15.95" customHeight="1" x14ac:dyDescent="0.2">
      <c r="A1658" s="30"/>
      <c r="B1658" s="46"/>
      <c r="C1658" s="41"/>
      <c r="D1658" s="41">
        <v>1</v>
      </c>
      <c r="E1658" s="90">
        <v>21.4</v>
      </c>
      <c r="F1658" s="90">
        <v>0.4</v>
      </c>
      <c r="G1658" s="90"/>
      <c r="H1658" s="89">
        <f t="shared" si="317"/>
        <v>8.56</v>
      </c>
      <c r="I1658" s="89"/>
      <c r="J1658" s="108"/>
      <c r="K1658" s="157"/>
      <c r="L1658" s="157"/>
      <c r="M1658" s="158"/>
      <c r="O1658" s="82">
        <f t="shared" si="312"/>
        <v>0</v>
      </c>
    </row>
    <row r="1659" spans="1:15" s="5" customFormat="1" ht="16.149999999999999" customHeight="1" x14ac:dyDescent="0.2">
      <c r="A1659" s="30"/>
      <c r="B1659" s="44" t="s">
        <v>549</v>
      </c>
      <c r="C1659" s="41"/>
      <c r="D1659" s="41">
        <v>1</v>
      </c>
      <c r="E1659" s="109">
        <v>11.35</v>
      </c>
      <c r="F1659" s="109">
        <v>9.5</v>
      </c>
      <c r="G1659" s="109"/>
      <c r="H1659" s="89">
        <f>PRODUCT(D1659:G1659)</f>
        <v>107.825</v>
      </c>
      <c r="I1659" s="89"/>
      <c r="K1659" s="157"/>
      <c r="L1659" s="157"/>
      <c r="M1659" s="158"/>
      <c r="O1659" s="82">
        <f t="shared" si="312"/>
        <v>0</v>
      </c>
    </row>
    <row r="1660" spans="1:15" ht="15.95" customHeight="1" x14ac:dyDescent="0.2">
      <c r="A1660" s="30"/>
      <c r="B1660" s="46"/>
      <c r="C1660" s="41"/>
      <c r="D1660" s="41"/>
      <c r="E1660" s="90"/>
      <c r="F1660" s="90"/>
      <c r="G1660" s="90"/>
      <c r="H1660" s="89"/>
      <c r="I1660" s="89"/>
      <c r="J1660" s="108"/>
      <c r="K1660" s="157"/>
      <c r="L1660" s="157"/>
      <c r="M1660" s="158"/>
      <c r="O1660" s="82">
        <f t="shared" si="312"/>
        <v>0</v>
      </c>
    </row>
    <row r="1661" spans="1:15" ht="15.95" customHeight="1" x14ac:dyDescent="0.2">
      <c r="A1661" s="30"/>
      <c r="B1661" s="105" t="s">
        <v>475</v>
      </c>
      <c r="C1661" s="41"/>
      <c r="D1661" s="41"/>
      <c r="E1661" s="90"/>
      <c r="F1661" s="90"/>
      <c r="G1661" s="90"/>
      <c r="H1661" s="89">
        <f t="shared" ref="H1661" si="318">PRODUCT(D1661:G1661)</f>
        <v>0</v>
      </c>
      <c r="I1661" s="89">
        <f t="shared" ref="I1661" si="319">PRODUCT(E1661:H1661)</f>
        <v>0</v>
      </c>
      <c r="J1661" s="90"/>
      <c r="K1661" s="157"/>
      <c r="L1661" s="157"/>
      <c r="M1661" s="158"/>
      <c r="O1661" s="82">
        <f t="shared" si="312"/>
        <v>0</v>
      </c>
    </row>
    <row r="1662" spans="1:15" s="5" customFormat="1" ht="16.149999999999999" customHeight="1" x14ac:dyDescent="0.2">
      <c r="A1662" s="30"/>
      <c r="B1662" s="44" t="s">
        <v>494</v>
      </c>
      <c r="C1662" s="41"/>
      <c r="D1662" s="41">
        <v>5</v>
      </c>
      <c r="E1662" s="109">
        <v>6.6</v>
      </c>
      <c r="F1662" s="109">
        <v>8.6300000000000008</v>
      </c>
      <c r="G1662" s="109"/>
      <c r="H1662" s="89">
        <f>PRODUCT(D1662:G1662)</f>
        <v>284.79000000000002</v>
      </c>
      <c r="I1662" s="89"/>
      <c r="K1662" s="157"/>
      <c r="L1662" s="157"/>
      <c r="M1662" s="158"/>
      <c r="O1662" s="82">
        <f t="shared" si="312"/>
        <v>0</v>
      </c>
    </row>
    <row r="1663" spans="1:15" s="5" customFormat="1" ht="16.149999999999999" customHeight="1" x14ac:dyDescent="0.2">
      <c r="A1663" s="30"/>
      <c r="B1663" s="44"/>
      <c r="C1663" s="41"/>
      <c r="D1663" s="41">
        <v>4</v>
      </c>
      <c r="E1663" s="109">
        <v>1.71</v>
      </c>
      <c r="F1663" s="109">
        <v>0.6</v>
      </c>
      <c r="G1663" s="109"/>
      <c r="H1663" s="89">
        <f t="shared" ref="H1663" si="320">PRODUCT(D1663:G1663)</f>
        <v>4.1040000000000001</v>
      </c>
      <c r="I1663" s="89"/>
      <c r="K1663" s="157"/>
      <c r="L1663" s="157"/>
      <c r="M1663" s="158"/>
      <c r="O1663" s="82">
        <f t="shared" si="312"/>
        <v>0</v>
      </c>
    </row>
    <row r="1664" spans="1:15" s="5" customFormat="1" ht="16.149999999999999" customHeight="1" x14ac:dyDescent="0.2">
      <c r="A1664" s="30"/>
      <c r="B1664" s="44" t="s">
        <v>495</v>
      </c>
      <c r="C1664" s="41"/>
      <c r="D1664" s="41">
        <v>4</v>
      </c>
      <c r="E1664" s="109">
        <v>4.2</v>
      </c>
      <c r="F1664" s="109">
        <v>3.4</v>
      </c>
      <c r="G1664" s="109"/>
      <c r="H1664" s="89">
        <f>PRODUCT(D1664:G1664)</f>
        <v>57.12</v>
      </c>
      <c r="I1664" s="89"/>
      <c r="K1664" s="157"/>
      <c r="L1664" s="157"/>
      <c r="M1664" s="158"/>
      <c r="O1664" s="82">
        <f t="shared" si="312"/>
        <v>0</v>
      </c>
    </row>
    <row r="1665" spans="1:15" s="5" customFormat="1" ht="16.149999999999999" customHeight="1" x14ac:dyDescent="0.2">
      <c r="A1665" s="30"/>
      <c r="B1665" s="44"/>
      <c r="C1665" s="41"/>
      <c r="D1665" s="41">
        <v>2</v>
      </c>
      <c r="E1665" s="109">
        <v>3.4</v>
      </c>
      <c r="F1665" s="109">
        <v>3.4</v>
      </c>
      <c r="G1665" s="109"/>
      <c r="H1665" s="89">
        <f>PRODUCT(D1665:G1665)</f>
        <v>23.119999999999997</v>
      </c>
      <c r="I1665" s="89"/>
      <c r="K1665" s="157"/>
      <c r="L1665" s="157"/>
      <c r="M1665" s="158"/>
      <c r="O1665" s="82">
        <f t="shared" si="312"/>
        <v>0</v>
      </c>
    </row>
    <row r="1666" spans="1:15" s="5" customFormat="1" ht="16.149999999999999" customHeight="1" x14ac:dyDescent="0.2">
      <c r="A1666" s="30"/>
      <c r="B1666" s="44" t="s">
        <v>497</v>
      </c>
      <c r="C1666" s="41"/>
      <c r="D1666" s="41">
        <v>1</v>
      </c>
      <c r="E1666" s="109">
        <v>34.200000000000003</v>
      </c>
      <c r="F1666" s="109">
        <v>2.2000000000000002</v>
      </c>
      <c r="G1666" s="109"/>
      <c r="H1666" s="89">
        <f>PRODUCT(D1666:G1666)</f>
        <v>75.240000000000009</v>
      </c>
      <c r="I1666" s="89"/>
      <c r="K1666" s="157"/>
      <c r="L1666" s="157"/>
      <c r="M1666" s="158"/>
      <c r="O1666" s="82">
        <f t="shared" si="312"/>
        <v>0</v>
      </c>
    </row>
    <row r="1667" spans="1:15" ht="15.95" customHeight="1" x14ac:dyDescent="0.2">
      <c r="A1667" s="30"/>
      <c r="B1667" s="44"/>
      <c r="C1667" s="41"/>
      <c r="D1667" s="41">
        <v>6</v>
      </c>
      <c r="E1667" s="109">
        <v>2.2000000000000002</v>
      </c>
      <c r="F1667" s="109">
        <v>0.4</v>
      </c>
      <c r="G1667" s="109"/>
      <c r="H1667" s="89">
        <f t="shared" ref="H1667:H1668" si="321">PRODUCT(D1667:G1667)</f>
        <v>5.2800000000000011</v>
      </c>
      <c r="I1667" s="89"/>
      <c r="J1667" s="108"/>
      <c r="K1667" s="157"/>
      <c r="L1667" s="157"/>
      <c r="M1667" s="158"/>
      <c r="O1667" s="82">
        <f t="shared" si="312"/>
        <v>0</v>
      </c>
    </row>
    <row r="1668" spans="1:15" ht="15.95" customHeight="1" x14ac:dyDescent="0.2">
      <c r="A1668" s="30"/>
      <c r="B1668" s="46"/>
      <c r="C1668" s="41"/>
      <c r="D1668" s="41">
        <v>1</v>
      </c>
      <c r="E1668" s="90">
        <v>21.4</v>
      </c>
      <c r="F1668" s="90">
        <v>0.4</v>
      </c>
      <c r="G1668" s="90"/>
      <c r="H1668" s="89">
        <f t="shared" si="321"/>
        <v>8.56</v>
      </c>
      <c r="I1668" s="89">
        <f>SUM(H1651:H1667)</f>
        <v>1015.693</v>
      </c>
      <c r="J1668" s="108"/>
      <c r="K1668" s="157"/>
      <c r="L1668" s="157"/>
      <c r="M1668" s="158"/>
      <c r="O1668" s="82">
        <f t="shared" si="312"/>
        <v>0</v>
      </c>
    </row>
    <row r="1669" spans="1:15" ht="15.95" customHeight="1" x14ac:dyDescent="0.2">
      <c r="A1669" s="30"/>
      <c r="B1669" s="46"/>
      <c r="C1669" s="41"/>
      <c r="D1669" s="41"/>
      <c r="E1669" s="90"/>
      <c r="F1669" s="90"/>
      <c r="G1669" s="90"/>
      <c r="H1669" s="89"/>
      <c r="I1669" s="89">
        <f t="shared" ref="I1669" si="322">PRODUCT(E1669:H1669)</f>
        <v>0</v>
      </c>
      <c r="J1669" s="90"/>
      <c r="K1669" s="157"/>
      <c r="L1669" s="157"/>
      <c r="M1669" s="158"/>
      <c r="O1669" s="82">
        <f t="shared" si="312"/>
        <v>0</v>
      </c>
    </row>
    <row r="1670" spans="1:15" s="5" customFormat="1" ht="16.149999999999999" customHeight="1" x14ac:dyDescent="0.2">
      <c r="A1670" s="30"/>
      <c r="B1670" s="98" t="s">
        <v>465</v>
      </c>
      <c r="C1670" s="32"/>
      <c r="D1670" s="32"/>
      <c r="E1670" s="89"/>
      <c r="F1670" s="89"/>
      <c r="G1670" s="89"/>
      <c r="H1670" s="89">
        <f t="shared" ref="H1670:H1676" si="323">PRODUCT(D1670:G1670)</f>
        <v>0</v>
      </c>
      <c r="I1670" s="89"/>
      <c r="J1670" s="89"/>
      <c r="K1670" s="157"/>
      <c r="L1670" s="157"/>
      <c r="M1670" s="158"/>
      <c r="O1670" s="82">
        <f t="shared" si="312"/>
        <v>0</v>
      </c>
    </row>
    <row r="1671" spans="1:15" s="5" customFormat="1" ht="16.149999999999999" customHeight="1" x14ac:dyDescent="0.2">
      <c r="A1671" s="30"/>
      <c r="B1671" s="44" t="s">
        <v>485</v>
      </c>
      <c r="C1671" s="41"/>
      <c r="D1671" s="41">
        <v>0</v>
      </c>
      <c r="E1671" s="109">
        <v>5.0999999999999996</v>
      </c>
      <c r="F1671" s="109">
        <v>3.1</v>
      </c>
      <c r="G1671" s="109"/>
      <c r="H1671" s="89">
        <f t="shared" si="323"/>
        <v>0</v>
      </c>
      <c r="I1671" s="89"/>
      <c r="K1671" s="157"/>
      <c r="L1671" s="157"/>
      <c r="M1671" s="158"/>
      <c r="O1671" s="82">
        <f t="shared" si="312"/>
        <v>0</v>
      </c>
    </row>
    <row r="1672" spans="1:15" s="5" customFormat="1" ht="16.149999999999999" customHeight="1" x14ac:dyDescent="0.2">
      <c r="A1672" s="30"/>
      <c r="B1672" s="44" t="s">
        <v>487</v>
      </c>
      <c r="C1672" s="41"/>
      <c r="D1672" s="41">
        <v>2</v>
      </c>
      <c r="E1672" s="109">
        <v>2.1</v>
      </c>
      <c r="F1672" s="109">
        <v>1.9</v>
      </c>
      <c r="G1672" s="109"/>
      <c r="H1672" s="89">
        <f t="shared" si="323"/>
        <v>7.9799999999999995</v>
      </c>
      <c r="I1672" s="89"/>
      <c r="K1672" s="157"/>
      <c r="L1672" s="157"/>
      <c r="M1672" s="158"/>
      <c r="O1672" s="82">
        <f t="shared" si="312"/>
        <v>0</v>
      </c>
    </row>
    <row r="1673" spans="1:15" s="5" customFormat="1" ht="16.149999999999999" customHeight="1" x14ac:dyDescent="0.2">
      <c r="A1673" s="30"/>
      <c r="B1673" s="44" t="s">
        <v>488</v>
      </c>
      <c r="C1673" s="41"/>
      <c r="D1673" s="41">
        <v>1</v>
      </c>
      <c r="E1673" s="109">
        <v>4.8</v>
      </c>
      <c r="F1673" s="109">
        <v>2.5</v>
      </c>
      <c r="G1673" s="109"/>
      <c r="H1673" s="89">
        <f t="shared" si="323"/>
        <v>12</v>
      </c>
      <c r="I1673" s="89"/>
      <c r="K1673" s="157"/>
      <c r="L1673" s="157"/>
      <c r="M1673" s="158"/>
      <c r="O1673" s="82">
        <f t="shared" si="312"/>
        <v>0</v>
      </c>
    </row>
    <row r="1674" spans="1:15" s="5" customFormat="1" ht="16.149999999999999" customHeight="1" x14ac:dyDescent="0.2">
      <c r="A1674" s="30"/>
      <c r="B1674" s="44" t="s">
        <v>479</v>
      </c>
      <c r="C1674" s="41"/>
      <c r="D1674" s="41">
        <v>0</v>
      </c>
      <c r="E1674" s="109">
        <v>4.3</v>
      </c>
      <c r="F1674" s="109">
        <v>2.9</v>
      </c>
      <c r="G1674" s="109"/>
      <c r="H1674" s="89">
        <f t="shared" si="323"/>
        <v>0</v>
      </c>
      <c r="I1674" s="89"/>
      <c r="K1674" s="157"/>
      <c r="L1674" s="157"/>
      <c r="M1674" s="158"/>
      <c r="O1674" s="82">
        <f t="shared" si="312"/>
        <v>0</v>
      </c>
    </row>
    <row r="1675" spans="1:15" s="5" customFormat="1" ht="16.149999999999999" customHeight="1" x14ac:dyDescent="0.2">
      <c r="A1675" s="30"/>
      <c r="B1675" s="44" t="s">
        <v>496</v>
      </c>
      <c r="C1675" s="41"/>
      <c r="D1675" s="41">
        <v>0</v>
      </c>
      <c r="E1675" s="109">
        <v>2</v>
      </c>
      <c r="F1675" s="109">
        <v>3.6</v>
      </c>
      <c r="G1675" s="109"/>
      <c r="H1675" s="89">
        <f t="shared" si="323"/>
        <v>0</v>
      </c>
      <c r="I1675" s="89"/>
      <c r="K1675" s="157"/>
      <c r="L1675" s="157"/>
      <c r="M1675" s="158"/>
      <c r="O1675" s="82">
        <f t="shared" ref="O1675:O1738" si="324">K1675-J1675</f>
        <v>0</v>
      </c>
    </row>
    <row r="1676" spans="1:15" s="5" customFormat="1" ht="16.149999999999999" customHeight="1" x14ac:dyDescent="0.2">
      <c r="A1676" s="30"/>
      <c r="B1676" s="44"/>
      <c r="C1676" s="41"/>
      <c r="D1676" s="41">
        <v>0</v>
      </c>
      <c r="E1676" s="109">
        <v>4.3</v>
      </c>
      <c r="F1676" s="109">
        <v>1.3</v>
      </c>
      <c r="G1676" s="109"/>
      <c r="H1676" s="89">
        <f t="shared" si="323"/>
        <v>0</v>
      </c>
      <c r="I1676" s="89"/>
      <c r="K1676" s="157"/>
      <c r="L1676" s="157"/>
      <c r="M1676" s="158"/>
      <c r="O1676" s="82">
        <f t="shared" si="324"/>
        <v>0</v>
      </c>
    </row>
    <row r="1677" spans="1:15" ht="15.95" customHeight="1" x14ac:dyDescent="0.2">
      <c r="A1677" s="30"/>
      <c r="B1677" s="46"/>
      <c r="C1677" s="41"/>
      <c r="D1677" s="41"/>
      <c r="E1677" s="90"/>
      <c r="F1677" s="90"/>
      <c r="G1677" s="90"/>
      <c r="H1677" s="89"/>
      <c r="I1677" s="90">
        <f>SUM(H1671:H1676)</f>
        <v>19.98</v>
      </c>
      <c r="J1677" s="90"/>
      <c r="K1677" s="157"/>
      <c r="L1677" s="157"/>
      <c r="M1677" s="158"/>
      <c r="O1677" s="82">
        <f t="shared" si="324"/>
        <v>0</v>
      </c>
    </row>
    <row r="1678" spans="1:15" s="5" customFormat="1" ht="16.149999999999999" customHeight="1" x14ac:dyDescent="0.2">
      <c r="A1678" s="30"/>
      <c r="B1678" s="98" t="s">
        <v>530</v>
      </c>
      <c r="C1678" s="32"/>
      <c r="D1678" s="32"/>
      <c r="E1678" s="89"/>
      <c r="F1678" s="89"/>
      <c r="G1678" s="89"/>
      <c r="H1678" s="89">
        <f t="shared" ref="H1678:H1688" si="325">PRODUCT(D1678:G1678)</f>
        <v>0</v>
      </c>
      <c r="I1678" s="89"/>
      <c r="J1678" s="89"/>
      <c r="K1678" s="157"/>
      <c r="L1678" s="157"/>
      <c r="M1678" s="158"/>
      <c r="O1678" s="82">
        <f t="shared" si="324"/>
        <v>0</v>
      </c>
    </row>
    <row r="1679" spans="1:15" s="5" customFormat="1" ht="16.149999999999999" customHeight="1" x14ac:dyDescent="0.2">
      <c r="A1679" s="30"/>
      <c r="B1679" s="44" t="s">
        <v>540</v>
      </c>
      <c r="C1679" s="41"/>
      <c r="D1679" s="41">
        <v>1</v>
      </c>
      <c r="E1679" s="109">
        <v>3.17</v>
      </c>
      <c r="F1679" s="109">
        <v>3.17</v>
      </c>
      <c r="G1679" s="109"/>
      <c r="H1679" s="89">
        <f t="shared" si="325"/>
        <v>10.0489</v>
      </c>
      <c r="I1679" s="89"/>
      <c r="K1679" s="157"/>
      <c r="L1679" s="157"/>
      <c r="M1679" s="158"/>
      <c r="O1679" s="82">
        <f t="shared" si="324"/>
        <v>0</v>
      </c>
    </row>
    <row r="1680" spans="1:15" s="5" customFormat="1" ht="16.149999999999999" customHeight="1" x14ac:dyDescent="0.2">
      <c r="A1680" s="30"/>
      <c r="B1680" s="44" t="s">
        <v>541</v>
      </c>
      <c r="C1680" s="41"/>
      <c r="D1680" s="41">
        <v>1</v>
      </c>
      <c r="E1680" s="109">
        <v>1.6</v>
      </c>
      <c r="F1680" s="109">
        <v>1.9</v>
      </c>
      <c r="G1680" s="109"/>
      <c r="H1680" s="89">
        <f t="shared" si="325"/>
        <v>3.04</v>
      </c>
      <c r="I1680" s="89"/>
      <c r="K1680" s="157"/>
      <c r="L1680" s="157"/>
      <c r="M1680" s="158"/>
      <c r="O1680" s="82">
        <f t="shared" si="324"/>
        <v>0</v>
      </c>
    </row>
    <row r="1681" spans="1:15" s="5" customFormat="1" ht="16.149999999999999" customHeight="1" x14ac:dyDescent="0.2">
      <c r="A1681" s="30"/>
      <c r="B1681" s="44" t="s">
        <v>542</v>
      </c>
      <c r="C1681" s="41"/>
      <c r="D1681" s="41">
        <v>1</v>
      </c>
      <c r="E1681" s="109">
        <v>3.1</v>
      </c>
      <c r="F1681" s="109">
        <v>2.9</v>
      </c>
      <c r="G1681" s="109"/>
      <c r="H1681" s="89">
        <f t="shared" si="325"/>
        <v>8.99</v>
      </c>
      <c r="I1681" s="89"/>
      <c r="K1681" s="157"/>
      <c r="L1681" s="157"/>
      <c r="M1681" s="158"/>
      <c r="O1681" s="82">
        <f t="shared" si="324"/>
        <v>0</v>
      </c>
    </row>
    <row r="1682" spans="1:15" s="5" customFormat="1" ht="16.149999999999999" customHeight="1" x14ac:dyDescent="0.2">
      <c r="A1682" s="30"/>
      <c r="B1682" s="44" t="s">
        <v>533</v>
      </c>
      <c r="C1682" s="41"/>
      <c r="D1682" s="41">
        <v>1</v>
      </c>
      <c r="E1682" s="109">
        <v>3.22</v>
      </c>
      <c r="F1682" s="109">
        <v>2.85</v>
      </c>
      <c r="G1682" s="109"/>
      <c r="H1682" s="89">
        <f t="shared" si="325"/>
        <v>9.1770000000000014</v>
      </c>
      <c r="I1682" s="89"/>
      <c r="K1682" s="157"/>
      <c r="L1682" s="157"/>
      <c r="M1682" s="158"/>
      <c r="O1682" s="82">
        <f t="shared" si="324"/>
        <v>0</v>
      </c>
    </row>
    <row r="1683" spans="1:15" s="5" customFormat="1" ht="16.149999999999999" customHeight="1" x14ac:dyDescent="0.2">
      <c r="A1683" s="30"/>
      <c r="B1683" s="44" t="s">
        <v>548</v>
      </c>
      <c r="C1683" s="41"/>
      <c r="D1683" s="41">
        <v>1</v>
      </c>
      <c r="E1683" s="109">
        <v>1.2</v>
      </c>
      <c r="F1683" s="109">
        <v>2.85</v>
      </c>
      <c r="G1683" s="109"/>
      <c r="H1683" s="89">
        <f t="shared" si="325"/>
        <v>3.42</v>
      </c>
      <c r="I1683" s="89"/>
      <c r="K1683" s="157"/>
      <c r="L1683" s="157"/>
      <c r="M1683" s="158"/>
      <c r="O1683" s="82">
        <f t="shared" si="324"/>
        <v>0</v>
      </c>
    </row>
    <row r="1684" spans="1:15" s="5" customFormat="1" ht="16.149999999999999" customHeight="1" x14ac:dyDescent="0.2">
      <c r="A1684" s="30"/>
      <c r="B1684" s="44" t="s">
        <v>544</v>
      </c>
      <c r="C1684" s="41"/>
      <c r="D1684" s="41">
        <v>3</v>
      </c>
      <c r="E1684" s="109">
        <f>2.92+0.2</f>
        <v>3.12</v>
      </c>
      <c r="F1684" s="109">
        <v>3.2</v>
      </c>
      <c r="G1684" s="109"/>
      <c r="H1684" s="89">
        <f t="shared" si="325"/>
        <v>29.951999999999998</v>
      </c>
      <c r="I1684" s="89"/>
      <c r="K1684" s="157"/>
      <c r="L1684" s="157"/>
      <c r="M1684" s="158"/>
      <c r="O1684" s="82">
        <f t="shared" si="324"/>
        <v>0</v>
      </c>
    </row>
    <row r="1685" spans="1:15" s="5" customFormat="1" ht="16.149999999999999" customHeight="1" x14ac:dyDescent="0.2">
      <c r="A1685" s="30"/>
      <c r="B1685" s="44" t="s">
        <v>545</v>
      </c>
      <c r="C1685" s="41"/>
      <c r="D1685" s="41">
        <v>1</v>
      </c>
      <c r="E1685" s="109">
        <v>0.9</v>
      </c>
      <c r="F1685" s="109">
        <v>1.85</v>
      </c>
      <c r="G1685" s="109"/>
      <c r="H1685" s="89">
        <f t="shared" si="325"/>
        <v>1.665</v>
      </c>
      <c r="I1685" s="89"/>
      <c r="K1685" s="157"/>
      <c r="L1685" s="157"/>
      <c r="M1685" s="158"/>
      <c r="O1685" s="82">
        <f t="shared" si="324"/>
        <v>0</v>
      </c>
    </row>
    <row r="1686" spans="1:15" ht="15.95" customHeight="1" x14ac:dyDescent="0.2">
      <c r="A1686" s="30"/>
      <c r="B1686" s="46"/>
      <c r="C1686" s="41"/>
      <c r="D1686" s="41">
        <v>1</v>
      </c>
      <c r="E1686" s="90">
        <v>1.24</v>
      </c>
      <c r="F1686" s="90">
        <v>1.85</v>
      </c>
      <c r="G1686" s="109"/>
      <c r="H1686" s="89">
        <f t="shared" si="325"/>
        <v>2.294</v>
      </c>
      <c r="I1686" s="90"/>
      <c r="J1686" s="90"/>
      <c r="K1686" s="157"/>
      <c r="L1686" s="157"/>
      <c r="M1686" s="158"/>
      <c r="O1686" s="82">
        <f t="shared" si="324"/>
        <v>0</v>
      </c>
    </row>
    <row r="1687" spans="1:15" s="5" customFormat="1" ht="16.149999999999999" customHeight="1" x14ac:dyDescent="0.2">
      <c r="A1687" s="30"/>
      <c r="B1687" s="44" t="s">
        <v>546</v>
      </c>
      <c r="C1687" s="41"/>
      <c r="D1687" s="41">
        <v>1</v>
      </c>
      <c r="E1687" s="109">
        <v>4.4000000000000004</v>
      </c>
      <c r="F1687" s="109">
        <v>3.5</v>
      </c>
      <c r="G1687" s="109"/>
      <c r="H1687" s="89">
        <f t="shared" si="325"/>
        <v>15.400000000000002</v>
      </c>
      <c r="I1687" s="89"/>
      <c r="K1687" s="157"/>
      <c r="L1687" s="157"/>
      <c r="M1687" s="158"/>
      <c r="O1687" s="82">
        <f t="shared" si="324"/>
        <v>0</v>
      </c>
    </row>
    <row r="1688" spans="1:15" s="5" customFormat="1" ht="16.149999999999999" customHeight="1" x14ac:dyDescent="0.2">
      <c r="A1688" s="30"/>
      <c r="B1688" s="44" t="s">
        <v>496</v>
      </c>
      <c r="C1688" s="41"/>
      <c r="D1688" s="41">
        <v>1</v>
      </c>
      <c r="E1688" s="109">
        <v>1.7</v>
      </c>
      <c r="F1688" s="109">
        <v>6.75</v>
      </c>
      <c r="G1688" s="109"/>
      <c r="H1688" s="89">
        <f t="shared" si="325"/>
        <v>11.475</v>
      </c>
      <c r="I1688" s="89"/>
      <c r="K1688" s="157"/>
      <c r="L1688" s="157"/>
      <c r="M1688" s="158"/>
      <c r="O1688" s="82">
        <f t="shared" si="324"/>
        <v>0</v>
      </c>
    </row>
    <row r="1689" spans="1:15" ht="15.95" customHeight="1" x14ac:dyDescent="0.2">
      <c r="A1689" s="30"/>
      <c r="B1689" s="41"/>
      <c r="C1689" s="41"/>
      <c r="D1689" s="41"/>
      <c r="E1689" s="90"/>
      <c r="F1689" s="90"/>
      <c r="G1689" s="90"/>
      <c r="H1689" s="89"/>
      <c r="I1689" s="89">
        <f>SUM(H1679:H1688)</f>
        <v>95.4619</v>
      </c>
      <c r="J1689" s="108"/>
      <c r="K1689" s="157"/>
      <c r="L1689" s="157"/>
      <c r="M1689" s="158"/>
      <c r="O1689" s="82">
        <f t="shared" si="324"/>
        <v>0</v>
      </c>
    </row>
    <row r="1690" spans="1:15" s="5" customFormat="1" ht="16.149999999999999" customHeight="1" x14ac:dyDescent="0.2">
      <c r="A1690" s="30"/>
      <c r="B1690" s="98" t="s">
        <v>466</v>
      </c>
      <c r="C1690" s="32"/>
      <c r="D1690" s="32"/>
      <c r="E1690" s="89"/>
      <c r="F1690" s="89"/>
      <c r="G1690" s="89"/>
      <c r="H1690" s="89">
        <f t="shared" ref="H1690:H1691" si="326">PRODUCT(D1690:G1690)</f>
        <v>0</v>
      </c>
      <c r="I1690" s="89"/>
      <c r="J1690" s="89"/>
      <c r="K1690" s="157"/>
      <c r="L1690" s="157"/>
      <c r="M1690" s="158"/>
      <c r="O1690" s="82">
        <f t="shared" si="324"/>
        <v>0</v>
      </c>
    </row>
    <row r="1691" spans="1:15" ht="15.95" customHeight="1" x14ac:dyDescent="0.2">
      <c r="A1691" s="30"/>
      <c r="B1691" s="46"/>
      <c r="C1691" s="41"/>
      <c r="D1691" s="41">
        <v>4</v>
      </c>
      <c r="E1691" s="90">
        <v>4.5999999999999996</v>
      </c>
      <c r="F1691" s="90">
        <v>4.0999999999999996</v>
      </c>
      <c r="G1691" s="109"/>
      <c r="H1691" s="89">
        <f t="shared" si="326"/>
        <v>75.439999999999984</v>
      </c>
      <c r="I1691" s="90"/>
      <c r="J1691" s="90"/>
      <c r="K1691" s="157"/>
      <c r="L1691" s="157"/>
      <c r="M1691" s="158"/>
      <c r="O1691" s="82">
        <f t="shared" si="324"/>
        <v>0</v>
      </c>
    </row>
    <row r="1692" spans="1:15" ht="15.95" customHeight="1" x14ac:dyDescent="0.2">
      <c r="A1692" s="30"/>
      <c r="B1692" s="46"/>
      <c r="C1692" s="41"/>
      <c r="D1692" s="41"/>
      <c r="E1692" s="90"/>
      <c r="F1692" s="90"/>
      <c r="G1692" s="90"/>
      <c r="H1692" s="89"/>
      <c r="I1692" s="90">
        <f>SUM(H1691:H1692)</f>
        <v>75.439999999999984</v>
      </c>
      <c r="J1692" s="90"/>
      <c r="K1692" s="157"/>
      <c r="L1692" s="157"/>
      <c r="M1692" s="158"/>
      <c r="O1692" s="82">
        <f t="shared" si="324"/>
        <v>0</v>
      </c>
    </row>
    <row r="1693" spans="1:15" s="5" customFormat="1" ht="16.149999999999999" customHeight="1" x14ac:dyDescent="0.2">
      <c r="A1693" s="30"/>
      <c r="B1693" s="98" t="s">
        <v>467</v>
      </c>
      <c r="C1693" s="32"/>
      <c r="D1693" s="32"/>
      <c r="E1693" s="89"/>
      <c r="F1693" s="89"/>
      <c r="G1693" s="89"/>
      <c r="H1693" s="89">
        <f t="shared" ref="H1693:H1694" si="327">PRODUCT(D1693:G1693)</f>
        <v>0</v>
      </c>
      <c r="I1693" s="89"/>
      <c r="J1693" s="89"/>
      <c r="K1693" s="157"/>
      <c r="L1693" s="157"/>
      <c r="M1693" s="158"/>
      <c r="O1693" s="82">
        <f t="shared" si="324"/>
        <v>0</v>
      </c>
    </row>
    <row r="1694" spans="1:15" ht="15.95" customHeight="1" x14ac:dyDescent="0.2">
      <c r="A1694" s="30"/>
      <c r="B1694" s="46"/>
      <c r="C1694" s="41"/>
      <c r="D1694" s="41">
        <v>1</v>
      </c>
      <c r="E1694" s="90">
        <v>2</v>
      </c>
      <c r="F1694" s="90">
        <v>3</v>
      </c>
      <c r="G1694" s="109"/>
      <c r="H1694" s="89">
        <f t="shared" si="327"/>
        <v>6</v>
      </c>
      <c r="I1694" s="90"/>
      <c r="J1694" s="90"/>
      <c r="K1694" s="157"/>
      <c r="L1694" s="157"/>
      <c r="M1694" s="158"/>
      <c r="O1694" s="82">
        <f t="shared" si="324"/>
        <v>0</v>
      </c>
    </row>
    <row r="1695" spans="1:15" ht="15.95" customHeight="1" x14ac:dyDescent="0.2">
      <c r="A1695" s="40"/>
      <c r="B1695" s="46"/>
      <c r="C1695" s="41"/>
      <c r="D1695" s="41"/>
      <c r="E1695" s="90"/>
      <c r="F1695" s="90"/>
      <c r="G1695" s="90"/>
      <c r="H1695" s="90"/>
      <c r="I1695" s="90">
        <f>SUM(H1694:H1694)</f>
        <v>6</v>
      </c>
      <c r="J1695" s="90"/>
      <c r="K1695" s="163"/>
      <c r="L1695" s="163"/>
      <c r="M1695" s="158"/>
      <c r="O1695" s="82">
        <f t="shared" si="324"/>
        <v>0</v>
      </c>
    </row>
    <row r="1696" spans="1:15" ht="16.5" customHeight="1" x14ac:dyDescent="0.2">
      <c r="A1696" s="40"/>
      <c r="B1696" s="119" t="s">
        <v>506</v>
      </c>
      <c r="C1696" s="41"/>
      <c r="D1696" s="41"/>
      <c r="E1696" s="90"/>
      <c r="F1696" s="90"/>
      <c r="G1696" s="90"/>
      <c r="H1696" s="89">
        <f t="shared" ref="H1696:H1698" si="328">PRODUCT(D1696:G1696)</f>
        <v>0</v>
      </c>
      <c r="I1696" s="90"/>
      <c r="J1696" s="90"/>
      <c r="K1696" s="163"/>
      <c r="L1696" s="163"/>
      <c r="M1696" s="158"/>
      <c r="O1696" s="82">
        <f t="shared" si="324"/>
        <v>0</v>
      </c>
    </row>
    <row r="1697" spans="1:15" ht="18" customHeight="1" x14ac:dyDescent="0.2">
      <c r="A1697" s="66"/>
      <c r="B1697" s="46"/>
      <c r="C1697" s="41"/>
      <c r="D1697" s="41">
        <v>19</v>
      </c>
      <c r="E1697" s="90">
        <v>8.6</v>
      </c>
      <c r="F1697" s="90">
        <v>6.6</v>
      </c>
      <c r="G1697" s="90"/>
      <c r="H1697" s="89">
        <f t="shared" ref="H1697" si="329">PRODUCT(D1697:G1697)</f>
        <v>1078.44</v>
      </c>
      <c r="I1697" s="90"/>
      <c r="J1697" s="90"/>
      <c r="K1697" s="163"/>
      <c r="L1697" s="163"/>
      <c r="M1697" s="158"/>
      <c r="N1697" s="43"/>
      <c r="O1697" s="82">
        <f t="shared" si="324"/>
        <v>0</v>
      </c>
    </row>
    <row r="1698" spans="1:15" ht="18" customHeight="1" x14ac:dyDescent="0.2">
      <c r="A1698" s="66"/>
      <c r="B1698" s="46"/>
      <c r="C1698" s="41"/>
      <c r="D1698" s="41">
        <f>19*2</f>
        <v>38</v>
      </c>
      <c r="E1698" s="90">
        <v>8.6</v>
      </c>
      <c r="F1698" s="90"/>
      <c r="G1698" s="90">
        <v>3.1</v>
      </c>
      <c r="H1698" s="89">
        <f t="shared" si="328"/>
        <v>1013.08</v>
      </c>
      <c r="I1698" s="90"/>
      <c r="J1698" s="90"/>
      <c r="K1698" s="163"/>
      <c r="L1698" s="163"/>
      <c r="M1698" s="158"/>
      <c r="N1698" s="43"/>
      <c r="O1698" s="82">
        <f t="shared" si="324"/>
        <v>0</v>
      </c>
    </row>
    <row r="1699" spans="1:15" ht="18" customHeight="1" x14ac:dyDescent="0.2">
      <c r="A1699" s="66"/>
      <c r="B1699" s="46"/>
      <c r="C1699" s="41"/>
      <c r="D1699" s="41">
        <f>19*2</f>
        <v>38</v>
      </c>
      <c r="E1699" s="90">
        <v>6.6</v>
      </c>
      <c r="F1699" s="90"/>
      <c r="G1699" s="90">
        <v>3.1</v>
      </c>
      <c r="H1699" s="89">
        <f t="shared" ref="H1699:H1702" si="330">PRODUCT(D1699:G1699)</f>
        <v>777.48</v>
      </c>
      <c r="I1699" s="90"/>
      <c r="J1699" s="90"/>
      <c r="K1699" s="163"/>
      <c r="L1699" s="163"/>
      <c r="M1699" s="158"/>
      <c r="N1699" s="43"/>
      <c r="O1699" s="82">
        <f t="shared" si="324"/>
        <v>0</v>
      </c>
    </row>
    <row r="1700" spans="1:15" s="5" customFormat="1" ht="16.149999999999999" customHeight="1" x14ac:dyDescent="0.2">
      <c r="A1700" s="30"/>
      <c r="B1700" s="110" t="s">
        <v>480</v>
      </c>
      <c r="C1700" s="41"/>
      <c r="D1700" s="41"/>
      <c r="E1700" s="109"/>
      <c r="F1700" s="109"/>
      <c r="G1700" s="109"/>
      <c r="H1700" s="89">
        <f t="shared" si="330"/>
        <v>0</v>
      </c>
      <c r="I1700" s="89"/>
      <c r="K1700" s="157"/>
      <c r="L1700" s="157"/>
      <c r="M1700" s="158"/>
      <c r="O1700" s="82">
        <f t="shared" si="324"/>
        <v>0</v>
      </c>
    </row>
    <row r="1701" spans="1:15" ht="15.95" customHeight="1" x14ac:dyDescent="0.2">
      <c r="A1701" s="30"/>
      <c r="B1701" s="41" t="s">
        <v>424</v>
      </c>
      <c r="C1701" s="41"/>
      <c r="D1701" s="41">
        <f>-4*19</f>
        <v>-76</v>
      </c>
      <c r="E1701" s="90">
        <v>0.9</v>
      </c>
      <c r="F1701" s="90"/>
      <c r="G1701" s="90">
        <v>1.2</v>
      </c>
      <c r="H1701" s="89">
        <f t="shared" si="330"/>
        <v>-82.08</v>
      </c>
      <c r="I1701" s="89"/>
      <c r="J1701" s="90"/>
      <c r="K1701" s="157"/>
      <c r="L1701" s="157"/>
      <c r="M1701" s="158"/>
      <c r="O1701" s="82">
        <f t="shared" si="324"/>
        <v>0</v>
      </c>
    </row>
    <row r="1702" spans="1:15" ht="15.95" customHeight="1" x14ac:dyDescent="0.2">
      <c r="A1702" s="30"/>
      <c r="B1702" s="41" t="s">
        <v>481</v>
      </c>
      <c r="C1702" s="41"/>
      <c r="D1702" s="41">
        <v>-19</v>
      </c>
      <c r="E1702" s="90">
        <v>0.9</v>
      </c>
      <c r="F1702" s="90"/>
      <c r="G1702" s="90">
        <v>2.2000000000000002</v>
      </c>
      <c r="H1702" s="89">
        <f t="shared" si="330"/>
        <v>-37.620000000000005</v>
      </c>
      <c r="I1702" s="89"/>
      <c r="J1702" s="108"/>
      <c r="K1702" s="157"/>
      <c r="L1702" s="157"/>
      <c r="M1702" s="158"/>
      <c r="O1702" s="82">
        <f t="shared" si="324"/>
        <v>0</v>
      </c>
    </row>
    <row r="1703" spans="1:15" ht="15.95" customHeight="1" x14ac:dyDescent="0.2">
      <c r="A1703" s="40"/>
      <c r="B1703" s="46"/>
      <c r="C1703" s="41"/>
      <c r="D1703" s="41"/>
      <c r="E1703" s="90"/>
      <c r="F1703" s="90"/>
      <c r="G1703" s="90"/>
      <c r="H1703" s="90"/>
      <c r="I1703" s="90">
        <f>SUM(H1697:H1702)</f>
        <v>2749.3</v>
      </c>
      <c r="J1703" s="90"/>
      <c r="K1703" s="163"/>
      <c r="L1703" s="163"/>
      <c r="M1703" s="158"/>
      <c r="O1703" s="82">
        <f t="shared" si="324"/>
        <v>0</v>
      </c>
    </row>
    <row r="1704" spans="1:15" x14ac:dyDescent="0.2">
      <c r="O1704" s="82">
        <f t="shared" si="324"/>
        <v>0</v>
      </c>
    </row>
    <row r="1705" spans="1:15" ht="18" customHeight="1" x14ac:dyDescent="0.2">
      <c r="A1705" s="66" t="s">
        <v>59</v>
      </c>
      <c r="B1705" s="45" t="s">
        <v>89</v>
      </c>
      <c r="C1705" s="41" t="s">
        <v>4</v>
      </c>
      <c r="D1705" s="41"/>
      <c r="E1705" s="90"/>
      <c r="F1705" s="90"/>
      <c r="G1705" s="90"/>
      <c r="H1705" s="90"/>
      <c r="I1705" s="90"/>
      <c r="J1705" s="90">
        <f>SUM(I1710:I1729)</f>
        <v>115.18600000000004</v>
      </c>
      <c r="K1705" s="163">
        <v>120</v>
      </c>
      <c r="L1705" s="163">
        <v>20</v>
      </c>
      <c r="M1705" s="158">
        <f>+L1705*K1705</f>
        <v>2400</v>
      </c>
      <c r="N1705" s="43"/>
      <c r="O1705" s="82">
        <f t="shared" si="324"/>
        <v>4.8139999999999645</v>
      </c>
    </row>
    <row r="1706" spans="1:15" x14ac:dyDescent="0.2">
      <c r="A1706" s="40"/>
      <c r="B1706" s="45" t="s">
        <v>557</v>
      </c>
      <c r="C1706" s="41" t="s">
        <v>4</v>
      </c>
      <c r="D1706" s="41"/>
      <c r="E1706" s="90"/>
      <c r="F1706" s="90"/>
      <c r="G1706" s="90"/>
      <c r="H1706" s="90"/>
      <c r="I1706" s="90"/>
      <c r="J1706" s="90"/>
      <c r="K1706" s="163"/>
      <c r="L1706" s="163"/>
      <c r="M1706" s="158"/>
      <c r="O1706" s="82">
        <f t="shared" si="324"/>
        <v>0</v>
      </c>
    </row>
    <row r="1707" spans="1:15" s="5" customFormat="1" ht="16.149999999999999" customHeight="1" x14ac:dyDescent="0.2">
      <c r="A1707" s="30"/>
      <c r="B1707" s="98" t="s">
        <v>465</v>
      </c>
      <c r="C1707" s="32"/>
      <c r="D1707" s="32"/>
      <c r="E1707" s="89"/>
      <c r="F1707" s="89"/>
      <c r="G1707" s="89"/>
      <c r="H1707" s="89">
        <f t="shared" ref="H1707" si="331">PRODUCT(D1707:G1707)</f>
        <v>0</v>
      </c>
      <c r="I1707" s="89"/>
      <c r="J1707" s="89"/>
      <c r="K1707" s="157"/>
      <c r="L1707" s="157"/>
      <c r="M1707" s="158"/>
      <c r="O1707" s="82">
        <f t="shared" si="324"/>
        <v>0</v>
      </c>
    </row>
    <row r="1708" spans="1:15" s="5" customFormat="1" ht="16.149999999999999" customHeight="1" x14ac:dyDescent="0.2">
      <c r="A1708" s="30"/>
      <c r="B1708" s="44" t="s">
        <v>487</v>
      </c>
      <c r="C1708" s="41"/>
      <c r="D1708" s="41">
        <v>4</v>
      </c>
      <c r="E1708" s="109">
        <v>2.1</v>
      </c>
      <c r="F1708" s="109"/>
      <c r="G1708" s="109">
        <f>3.1-2.3</f>
        <v>0.80000000000000027</v>
      </c>
      <c r="H1708" s="89">
        <f t="shared" ref="H1708:H1709" si="332">PRODUCT(D1708:G1708)</f>
        <v>6.7200000000000024</v>
      </c>
      <c r="I1708" s="89"/>
      <c r="K1708" s="157"/>
      <c r="L1708" s="157"/>
      <c r="M1708" s="158"/>
      <c r="O1708" s="82">
        <f t="shared" si="324"/>
        <v>0</v>
      </c>
    </row>
    <row r="1709" spans="1:15" ht="15.95" customHeight="1" x14ac:dyDescent="0.2">
      <c r="A1709" s="30"/>
      <c r="B1709" s="46"/>
      <c r="C1709" s="41"/>
      <c r="D1709" s="41">
        <v>4</v>
      </c>
      <c r="E1709" s="90">
        <v>1.9</v>
      </c>
      <c r="F1709" s="90"/>
      <c r="G1709" s="109">
        <f>3.1-2.3</f>
        <v>0.80000000000000027</v>
      </c>
      <c r="H1709" s="89">
        <f t="shared" si="332"/>
        <v>6.0800000000000018</v>
      </c>
      <c r="I1709" s="90"/>
      <c r="J1709" s="90"/>
      <c r="K1709" s="157"/>
      <c r="L1709" s="157"/>
      <c r="M1709" s="158"/>
      <c r="O1709" s="82">
        <f t="shared" si="324"/>
        <v>0</v>
      </c>
    </row>
    <row r="1710" spans="1:15" ht="15.95" customHeight="1" x14ac:dyDescent="0.2">
      <c r="A1710" s="30"/>
      <c r="B1710" s="46"/>
      <c r="C1710" s="41"/>
      <c r="D1710" s="41"/>
      <c r="E1710" s="90"/>
      <c r="F1710" s="90"/>
      <c r="G1710" s="90"/>
      <c r="H1710" s="89"/>
      <c r="I1710" s="90">
        <f>SUM(H1707:H1710)</f>
        <v>12.800000000000004</v>
      </c>
      <c r="J1710" s="90"/>
      <c r="K1710" s="157"/>
      <c r="L1710" s="157"/>
      <c r="M1710" s="158"/>
      <c r="O1710" s="82">
        <f t="shared" si="324"/>
        <v>0</v>
      </c>
    </row>
    <row r="1711" spans="1:15" ht="15.95" customHeight="1" x14ac:dyDescent="0.2">
      <c r="A1711" s="30"/>
      <c r="B1711" s="46"/>
      <c r="C1711" s="41"/>
      <c r="D1711" s="41"/>
      <c r="E1711" s="90"/>
      <c r="F1711" s="90"/>
      <c r="G1711" s="90"/>
      <c r="H1711" s="89"/>
      <c r="I1711" s="90"/>
      <c r="J1711" s="90"/>
      <c r="K1711" s="157"/>
      <c r="L1711" s="157"/>
      <c r="M1711" s="158"/>
      <c r="O1711" s="82">
        <f t="shared" si="324"/>
        <v>0</v>
      </c>
    </row>
    <row r="1712" spans="1:15" s="5" customFormat="1" ht="16.149999999999999" customHeight="1" x14ac:dyDescent="0.2">
      <c r="A1712" s="30"/>
      <c r="B1712" s="98" t="s">
        <v>530</v>
      </c>
      <c r="C1712" s="32"/>
      <c r="D1712" s="32"/>
      <c r="E1712" s="89"/>
      <c r="F1712" s="89"/>
      <c r="G1712" s="89"/>
      <c r="H1712" s="89">
        <f t="shared" ref="H1712:H1714" si="333">PRODUCT(D1712:G1712)</f>
        <v>0</v>
      </c>
      <c r="I1712" s="89"/>
      <c r="J1712" s="89"/>
      <c r="K1712" s="157"/>
      <c r="L1712" s="157"/>
      <c r="M1712" s="158"/>
      <c r="O1712" s="82">
        <f t="shared" si="324"/>
        <v>0</v>
      </c>
    </row>
    <row r="1713" spans="1:15" s="5" customFormat="1" ht="16.149999999999999" customHeight="1" x14ac:dyDescent="0.2">
      <c r="A1713" s="30"/>
      <c r="B1713" s="44" t="s">
        <v>541</v>
      </c>
      <c r="C1713" s="41"/>
      <c r="D1713" s="41">
        <v>2</v>
      </c>
      <c r="E1713" s="109">
        <v>1.9</v>
      </c>
      <c r="F1713" s="109"/>
      <c r="G1713" s="109">
        <f>3.1-2.3</f>
        <v>0.80000000000000027</v>
      </c>
      <c r="H1713" s="89">
        <f t="shared" si="333"/>
        <v>3.0400000000000009</v>
      </c>
      <c r="I1713" s="89"/>
      <c r="K1713" s="157"/>
      <c r="L1713" s="157"/>
      <c r="M1713" s="158"/>
      <c r="O1713" s="82">
        <f t="shared" si="324"/>
        <v>0</v>
      </c>
    </row>
    <row r="1714" spans="1:15" s="5" customFormat="1" ht="16.149999999999999" customHeight="1" x14ac:dyDescent="0.2">
      <c r="A1714" s="30"/>
      <c r="B1714" s="44"/>
      <c r="C1714" s="41"/>
      <c r="D1714" s="41">
        <v>2</v>
      </c>
      <c r="E1714" s="109">
        <v>1.6</v>
      </c>
      <c r="F1714" s="109"/>
      <c r="G1714" s="109">
        <f>3.1-2.3</f>
        <v>0.80000000000000027</v>
      </c>
      <c r="H1714" s="89">
        <f t="shared" si="333"/>
        <v>2.5600000000000009</v>
      </c>
      <c r="I1714" s="89"/>
      <c r="K1714" s="157"/>
      <c r="L1714" s="157"/>
      <c r="M1714" s="158"/>
      <c r="O1714" s="82">
        <f t="shared" si="324"/>
        <v>0</v>
      </c>
    </row>
    <row r="1715" spans="1:15" s="5" customFormat="1" ht="16.149999999999999" customHeight="1" x14ac:dyDescent="0.2">
      <c r="A1715" s="30"/>
      <c r="B1715" s="44" t="s">
        <v>533</v>
      </c>
      <c r="C1715" s="41"/>
      <c r="D1715" s="41">
        <v>2</v>
      </c>
      <c r="E1715" s="109">
        <v>3.22</v>
      </c>
      <c r="F1715" s="109"/>
      <c r="G1715" s="109">
        <f t="shared" ref="G1715:G1716" si="334">3.1-2.3</f>
        <v>0.80000000000000027</v>
      </c>
      <c r="H1715" s="89">
        <f t="shared" ref="H1715:H1724" si="335">PRODUCT(D1715:G1715)</f>
        <v>5.1520000000000019</v>
      </c>
      <c r="I1715" s="89"/>
      <c r="K1715" s="157"/>
      <c r="L1715" s="157"/>
      <c r="M1715" s="158"/>
      <c r="O1715" s="82">
        <f t="shared" si="324"/>
        <v>0</v>
      </c>
    </row>
    <row r="1716" spans="1:15" ht="15.95" customHeight="1" x14ac:dyDescent="0.2">
      <c r="A1716" s="30"/>
      <c r="B1716" s="46"/>
      <c r="C1716" s="41"/>
      <c r="D1716" s="41">
        <v>2</v>
      </c>
      <c r="E1716" s="90">
        <v>2.85</v>
      </c>
      <c r="F1716" s="90"/>
      <c r="G1716" s="109">
        <f t="shared" si="334"/>
        <v>0.80000000000000027</v>
      </c>
      <c r="H1716" s="89">
        <f t="shared" si="335"/>
        <v>4.5600000000000014</v>
      </c>
      <c r="I1716" s="90"/>
      <c r="J1716" s="90"/>
      <c r="K1716" s="157"/>
      <c r="L1716" s="157"/>
      <c r="M1716" s="158"/>
      <c r="O1716" s="82">
        <f t="shared" si="324"/>
        <v>0</v>
      </c>
    </row>
    <row r="1717" spans="1:15" s="5" customFormat="1" ht="16.149999999999999" customHeight="1" x14ac:dyDescent="0.2">
      <c r="A1717" s="30"/>
      <c r="B1717" s="44" t="s">
        <v>548</v>
      </c>
      <c r="C1717" s="41"/>
      <c r="D1717" s="41">
        <v>2</v>
      </c>
      <c r="E1717" s="109">
        <v>1.2</v>
      </c>
      <c r="F1717" s="109"/>
      <c r="G1717" s="109">
        <v>3.1</v>
      </c>
      <c r="H1717" s="89">
        <f t="shared" si="335"/>
        <v>7.4399999999999995</v>
      </c>
      <c r="I1717" s="89"/>
      <c r="K1717" s="157"/>
      <c r="L1717" s="157"/>
      <c r="M1717" s="158"/>
      <c r="O1717" s="82">
        <f t="shared" si="324"/>
        <v>0</v>
      </c>
    </row>
    <row r="1718" spans="1:15" ht="15.95" customHeight="1" x14ac:dyDescent="0.2">
      <c r="A1718" s="30"/>
      <c r="B1718" s="46"/>
      <c r="C1718" s="41"/>
      <c r="D1718" s="41">
        <v>2</v>
      </c>
      <c r="E1718" s="90">
        <v>2.85</v>
      </c>
      <c r="F1718" s="90"/>
      <c r="G1718" s="109">
        <v>3.1</v>
      </c>
      <c r="H1718" s="89">
        <f t="shared" si="335"/>
        <v>17.670000000000002</v>
      </c>
      <c r="I1718" s="90"/>
      <c r="J1718" s="90"/>
      <c r="K1718" s="157"/>
      <c r="L1718" s="157"/>
      <c r="M1718" s="158"/>
      <c r="O1718" s="82">
        <f t="shared" si="324"/>
        <v>0</v>
      </c>
    </row>
    <row r="1719" spans="1:15" s="5" customFormat="1" ht="16.149999999999999" customHeight="1" x14ac:dyDescent="0.2">
      <c r="A1719" s="30"/>
      <c r="B1719" s="110" t="s">
        <v>480</v>
      </c>
      <c r="C1719" s="41"/>
      <c r="D1719" s="41"/>
      <c r="E1719" s="109"/>
      <c r="F1719" s="109"/>
      <c r="G1719" s="109"/>
      <c r="H1719" s="89">
        <f t="shared" si="335"/>
        <v>0</v>
      </c>
      <c r="I1719" s="89"/>
      <c r="K1719" s="157"/>
      <c r="L1719" s="157"/>
      <c r="M1719" s="158"/>
      <c r="O1719" s="82">
        <f t="shared" si="324"/>
        <v>0</v>
      </c>
    </row>
    <row r="1720" spans="1:15" ht="15.95" customHeight="1" x14ac:dyDescent="0.2">
      <c r="A1720" s="30"/>
      <c r="B1720" s="41" t="s">
        <v>424</v>
      </c>
      <c r="C1720" s="41"/>
      <c r="D1720" s="41">
        <v>-1</v>
      </c>
      <c r="E1720" s="90">
        <v>0.9</v>
      </c>
      <c r="F1720" s="90"/>
      <c r="G1720" s="90">
        <v>1.2</v>
      </c>
      <c r="H1720" s="89">
        <f t="shared" si="335"/>
        <v>-1.08</v>
      </c>
      <c r="I1720" s="89"/>
      <c r="J1720" s="90"/>
      <c r="K1720" s="157"/>
      <c r="L1720" s="157"/>
      <c r="M1720" s="158"/>
      <c r="O1720" s="82">
        <f t="shared" si="324"/>
        <v>0</v>
      </c>
    </row>
    <row r="1721" spans="1:15" ht="15.95" customHeight="1" x14ac:dyDescent="0.2">
      <c r="A1721" s="30"/>
      <c r="B1721" s="41" t="s">
        <v>481</v>
      </c>
      <c r="C1721" s="41"/>
      <c r="D1721" s="41">
        <v>-1</v>
      </c>
      <c r="E1721" s="90">
        <v>0.9</v>
      </c>
      <c r="F1721" s="90"/>
      <c r="G1721" s="90">
        <v>2.2000000000000002</v>
      </c>
      <c r="H1721" s="89">
        <f t="shared" si="335"/>
        <v>-1.9800000000000002</v>
      </c>
      <c r="I1721" s="89"/>
      <c r="J1721" s="108"/>
      <c r="K1721" s="157"/>
      <c r="L1721" s="157"/>
      <c r="M1721" s="158"/>
      <c r="O1721" s="82">
        <f t="shared" si="324"/>
        <v>0</v>
      </c>
    </row>
    <row r="1722" spans="1:15" s="5" customFormat="1" ht="16.149999999999999" customHeight="1" x14ac:dyDescent="0.2">
      <c r="A1722" s="30"/>
      <c r="B1722" s="44" t="s">
        <v>545</v>
      </c>
      <c r="C1722" s="41"/>
      <c r="D1722" s="41">
        <v>2</v>
      </c>
      <c r="E1722" s="109">
        <v>0.9</v>
      </c>
      <c r="F1722" s="109"/>
      <c r="G1722" s="109">
        <f>3.1-2.3</f>
        <v>0.80000000000000027</v>
      </c>
      <c r="H1722" s="89">
        <f t="shared" si="335"/>
        <v>1.4400000000000006</v>
      </c>
      <c r="I1722" s="89"/>
      <c r="K1722" s="157"/>
      <c r="L1722" s="157"/>
      <c r="M1722" s="158"/>
      <c r="O1722" s="82">
        <f t="shared" si="324"/>
        <v>0</v>
      </c>
    </row>
    <row r="1723" spans="1:15" ht="15.95" customHeight="1" x14ac:dyDescent="0.2">
      <c r="A1723" s="30"/>
      <c r="B1723" s="46"/>
      <c r="C1723" s="41"/>
      <c r="D1723" s="41">
        <v>2</v>
      </c>
      <c r="E1723" s="90">
        <v>1.24</v>
      </c>
      <c r="F1723" s="90"/>
      <c r="G1723" s="109">
        <f t="shared" ref="G1723:G1724" si="336">3.1-2.3</f>
        <v>0.80000000000000027</v>
      </c>
      <c r="H1723" s="89">
        <f t="shared" si="335"/>
        <v>1.9840000000000007</v>
      </c>
      <c r="I1723" s="90"/>
      <c r="J1723" s="90"/>
      <c r="K1723" s="157"/>
      <c r="L1723" s="157"/>
      <c r="M1723" s="158"/>
      <c r="O1723" s="82">
        <f t="shared" si="324"/>
        <v>0</v>
      </c>
    </row>
    <row r="1724" spans="1:15" ht="15.95" customHeight="1" x14ac:dyDescent="0.2">
      <c r="A1724" s="30"/>
      <c r="B1724" s="46"/>
      <c r="C1724" s="41"/>
      <c r="D1724" s="41">
        <v>4</v>
      </c>
      <c r="E1724" s="90">
        <v>1.85</v>
      </c>
      <c r="F1724" s="90"/>
      <c r="G1724" s="109">
        <f t="shared" si="336"/>
        <v>0.80000000000000027</v>
      </c>
      <c r="H1724" s="89">
        <f t="shared" si="335"/>
        <v>5.9200000000000026</v>
      </c>
      <c r="I1724" s="90"/>
      <c r="J1724" s="90"/>
      <c r="K1724" s="157"/>
      <c r="L1724" s="157"/>
      <c r="M1724" s="158"/>
      <c r="O1724" s="82">
        <f t="shared" si="324"/>
        <v>0</v>
      </c>
    </row>
    <row r="1725" spans="1:15" ht="15.95" customHeight="1" x14ac:dyDescent="0.2">
      <c r="A1725" s="30"/>
      <c r="B1725" s="41"/>
      <c r="C1725" s="41"/>
      <c r="D1725" s="41"/>
      <c r="E1725" s="90"/>
      <c r="F1725" s="90"/>
      <c r="G1725" s="90"/>
      <c r="H1725" s="89"/>
      <c r="I1725" s="89">
        <f>SUM(H1712:H1724)</f>
        <v>46.70600000000001</v>
      </c>
      <c r="J1725" s="108"/>
      <c r="K1725" s="157"/>
      <c r="L1725" s="157"/>
      <c r="M1725" s="158"/>
      <c r="O1725" s="82">
        <f t="shared" si="324"/>
        <v>0</v>
      </c>
    </row>
    <row r="1726" spans="1:15" s="5" customFormat="1" ht="16.149999999999999" customHeight="1" x14ac:dyDescent="0.2">
      <c r="A1726" s="30"/>
      <c r="B1726" s="98" t="s">
        <v>466</v>
      </c>
      <c r="C1726" s="32"/>
      <c r="D1726" s="32"/>
      <c r="E1726" s="89"/>
      <c r="F1726" s="89"/>
      <c r="G1726" s="89"/>
      <c r="H1726" s="89">
        <f t="shared" ref="H1726:H1728" si="337">PRODUCT(D1726:G1726)</f>
        <v>0</v>
      </c>
      <c r="I1726" s="89"/>
      <c r="J1726" s="89"/>
      <c r="K1726" s="157"/>
      <c r="L1726" s="157"/>
      <c r="M1726" s="158"/>
      <c r="O1726" s="82">
        <f t="shared" si="324"/>
        <v>0</v>
      </c>
    </row>
    <row r="1727" spans="1:15" ht="15.95" customHeight="1" x14ac:dyDescent="0.2">
      <c r="A1727" s="30"/>
      <c r="B1727" s="46"/>
      <c r="C1727" s="41"/>
      <c r="D1727" s="41">
        <v>8</v>
      </c>
      <c r="E1727" s="90">
        <v>4.5999999999999996</v>
      </c>
      <c r="F1727" s="90"/>
      <c r="G1727" s="109">
        <f>3.1-2.3</f>
        <v>0.80000000000000027</v>
      </c>
      <c r="H1727" s="89">
        <f t="shared" si="337"/>
        <v>29.440000000000008</v>
      </c>
      <c r="I1727" s="90"/>
      <c r="J1727" s="90"/>
      <c r="K1727" s="157"/>
      <c r="L1727" s="157"/>
      <c r="M1727" s="158"/>
      <c r="O1727" s="82">
        <f t="shared" si="324"/>
        <v>0</v>
      </c>
    </row>
    <row r="1728" spans="1:15" ht="15.95" customHeight="1" x14ac:dyDescent="0.2">
      <c r="A1728" s="30"/>
      <c r="B1728" s="46"/>
      <c r="C1728" s="41"/>
      <c r="D1728" s="41">
        <v>8</v>
      </c>
      <c r="E1728" s="90">
        <v>4.0999999999999996</v>
      </c>
      <c r="F1728" s="90"/>
      <c r="G1728" s="109">
        <f>3.1-2.3</f>
        <v>0.80000000000000027</v>
      </c>
      <c r="H1728" s="89">
        <f t="shared" si="337"/>
        <v>26.240000000000006</v>
      </c>
      <c r="I1728" s="90"/>
      <c r="J1728" s="90"/>
      <c r="K1728" s="157"/>
      <c r="L1728" s="157"/>
      <c r="M1728" s="158"/>
      <c r="O1728" s="82">
        <f t="shared" si="324"/>
        <v>0</v>
      </c>
    </row>
    <row r="1729" spans="1:15" ht="15.95" customHeight="1" x14ac:dyDescent="0.2">
      <c r="A1729" s="30"/>
      <c r="B1729" s="46"/>
      <c r="C1729" s="41"/>
      <c r="D1729" s="41"/>
      <c r="E1729" s="90"/>
      <c r="F1729" s="90"/>
      <c r="G1729" s="90"/>
      <c r="H1729" s="89"/>
      <c r="I1729" s="90">
        <f>SUM(H1727:H1729)</f>
        <v>55.680000000000014</v>
      </c>
      <c r="J1729" s="90"/>
      <c r="K1729" s="157"/>
      <c r="L1729" s="157"/>
      <c r="M1729" s="158"/>
      <c r="O1729" s="82">
        <f t="shared" si="324"/>
        <v>0</v>
      </c>
    </row>
    <row r="1730" spans="1:15" ht="15.95" customHeight="1" x14ac:dyDescent="0.2">
      <c r="A1730" s="30"/>
      <c r="B1730" s="46"/>
      <c r="C1730" s="41"/>
      <c r="D1730" s="41"/>
      <c r="E1730" s="90"/>
      <c r="F1730" s="90"/>
      <c r="G1730" s="109"/>
      <c r="H1730" s="89"/>
      <c r="I1730" s="90"/>
      <c r="J1730" s="90"/>
      <c r="K1730" s="157"/>
      <c r="L1730" s="157"/>
      <c r="M1730" s="158"/>
      <c r="O1730" s="82">
        <f t="shared" si="324"/>
        <v>0</v>
      </c>
    </row>
    <row r="1731" spans="1:15" ht="15.95" customHeight="1" x14ac:dyDescent="0.2">
      <c r="A1731" s="30"/>
      <c r="B1731" s="46"/>
      <c r="C1731" s="41"/>
      <c r="D1731" s="41"/>
      <c r="E1731" s="90"/>
      <c r="F1731" s="90"/>
      <c r="G1731" s="90"/>
      <c r="H1731" s="89"/>
      <c r="I1731" s="90"/>
      <c r="J1731" s="90"/>
      <c r="K1731" s="157"/>
      <c r="L1731" s="157"/>
      <c r="M1731" s="158"/>
      <c r="O1731" s="82">
        <f t="shared" si="324"/>
        <v>0</v>
      </c>
    </row>
    <row r="1732" spans="1:15" ht="18" customHeight="1" x14ac:dyDescent="0.2">
      <c r="A1732" s="66" t="s">
        <v>348</v>
      </c>
      <c r="B1732" s="46" t="s">
        <v>87</v>
      </c>
      <c r="C1732" s="41" t="s">
        <v>4</v>
      </c>
      <c r="D1732" s="41"/>
      <c r="E1732" s="90"/>
      <c r="F1732" s="90"/>
      <c r="G1732" s="90"/>
      <c r="H1732" s="90"/>
      <c r="I1732" s="90"/>
      <c r="J1732" s="90">
        <f>SUM(I1734:I1740)</f>
        <v>397.72799999999995</v>
      </c>
      <c r="K1732" s="163">
        <v>410</v>
      </c>
      <c r="L1732" s="163">
        <v>20</v>
      </c>
      <c r="M1732" s="158">
        <f>+L1732*K1732</f>
        <v>8200</v>
      </c>
      <c r="N1732" s="43"/>
      <c r="O1732" s="82">
        <f t="shared" si="324"/>
        <v>12.272000000000048</v>
      </c>
    </row>
    <row r="1733" spans="1:15" ht="15.95" customHeight="1" x14ac:dyDescent="0.2">
      <c r="A1733" s="40"/>
      <c r="B1733" s="118" t="s">
        <v>505</v>
      </c>
      <c r="C1733" s="41"/>
      <c r="D1733" s="41"/>
      <c r="E1733" s="90">
        <f>J794</f>
        <v>0</v>
      </c>
      <c r="F1733" s="90"/>
      <c r="G1733" s="90"/>
      <c r="H1733" s="89">
        <f t="shared" ref="H1733" si="338">PRODUCT(D1733:G1733)</f>
        <v>0</v>
      </c>
      <c r="I1733" s="90"/>
      <c r="J1733" s="90"/>
      <c r="K1733" s="163"/>
      <c r="L1733" s="163"/>
      <c r="M1733" s="158"/>
      <c r="O1733" s="82">
        <f t="shared" si="324"/>
        <v>0</v>
      </c>
    </row>
    <row r="1734" spans="1:15" ht="18" customHeight="1" x14ac:dyDescent="0.2">
      <c r="A1734" s="30"/>
      <c r="B1734" s="46"/>
      <c r="C1734" s="41"/>
      <c r="D1734" s="41">
        <v>1</v>
      </c>
      <c r="E1734" s="90">
        <f>J1187+J1205+J1220</f>
        <v>123.91999999999999</v>
      </c>
      <c r="F1734" s="90">
        <v>2.4</v>
      </c>
      <c r="G1734" s="90">
        <v>1</v>
      </c>
      <c r="H1734" s="89">
        <f t="shared" ref="H1734:H1739" si="339">PRODUCT(D1734:G1734)</f>
        <v>297.40799999999996</v>
      </c>
      <c r="I1734" s="90"/>
      <c r="J1734" s="90"/>
      <c r="K1734" s="157"/>
      <c r="L1734" s="157"/>
      <c r="M1734" s="158"/>
      <c r="O1734" s="82">
        <f t="shared" si="324"/>
        <v>0</v>
      </c>
    </row>
    <row r="1735" spans="1:15" ht="18" customHeight="1" x14ac:dyDescent="0.2">
      <c r="A1735" s="30"/>
      <c r="B1735" s="46"/>
      <c r="C1735" s="41"/>
      <c r="D1735" s="41"/>
      <c r="E1735" s="90"/>
      <c r="F1735" s="90"/>
      <c r="G1735" s="90"/>
      <c r="H1735" s="89">
        <f t="shared" si="339"/>
        <v>0</v>
      </c>
      <c r="I1735" s="90">
        <f>SUM(H1734:H1735)</f>
        <v>297.40799999999996</v>
      </c>
      <c r="J1735" s="90"/>
      <c r="K1735" s="157"/>
      <c r="L1735" s="157"/>
      <c r="M1735" s="158"/>
      <c r="O1735" s="82">
        <f t="shared" si="324"/>
        <v>0</v>
      </c>
    </row>
    <row r="1736" spans="1:15" ht="18" customHeight="1" x14ac:dyDescent="0.2">
      <c r="A1736" s="66"/>
      <c r="B1736" s="46"/>
      <c r="C1736" s="41"/>
      <c r="D1736" s="41"/>
      <c r="E1736" s="90"/>
      <c r="F1736" s="90"/>
      <c r="G1736" s="90"/>
      <c r="H1736" s="89">
        <f t="shared" si="339"/>
        <v>0</v>
      </c>
      <c r="I1736" s="90"/>
      <c r="J1736" s="90"/>
      <c r="K1736" s="163"/>
      <c r="L1736" s="163"/>
      <c r="M1736" s="158"/>
      <c r="N1736" s="43"/>
      <c r="O1736" s="82">
        <f t="shared" si="324"/>
        <v>0</v>
      </c>
    </row>
    <row r="1737" spans="1:15" ht="16.5" customHeight="1" x14ac:dyDescent="0.2">
      <c r="A1737" s="40"/>
      <c r="B1737" s="119" t="s">
        <v>506</v>
      </c>
      <c r="C1737" s="41"/>
      <c r="D1737" s="41"/>
      <c r="E1737" s="90"/>
      <c r="F1737" s="90"/>
      <c r="G1737" s="90"/>
      <c r="H1737" s="89">
        <f t="shared" si="339"/>
        <v>0</v>
      </c>
      <c r="I1737" s="90"/>
      <c r="J1737" s="90"/>
      <c r="K1737" s="163"/>
      <c r="L1737" s="163"/>
      <c r="M1737" s="158"/>
      <c r="O1737" s="82">
        <f t="shared" si="324"/>
        <v>0</v>
      </c>
    </row>
    <row r="1738" spans="1:15" ht="18" customHeight="1" x14ac:dyDescent="0.2">
      <c r="A1738" s="66"/>
      <c r="B1738" s="46"/>
      <c r="C1738" s="41"/>
      <c r="D1738" s="41">
        <v>19</v>
      </c>
      <c r="E1738" s="90">
        <v>1</v>
      </c>
      <c r="F1738" s="90">
        <v>2.4</v>
      </c>
      <c r="G1738" s="90">
        <v>2.2000000000000002</v>
      </c>
      <c r="H1738" s="89">
        <f t="shared" si="339"/>
        <v>100.32000000000001</v>
      </c>
      <c r="I1738" s="90"/>
      <c r="J1738" s="90"/>
      <c r="K1738" s="163"/>
      <c r="L1738" s="163"/>
      <c r="M1738" s="158"/>
      <c r="N1738" s="43"/>
      <c r="O1738" s="82">
        <f t="shared" si="324"/>
        <v>0</v>
      </c>
    </row>
    <row r="1739" spans="1:15" ht="18" customHeight="1" x14ac:dyDescent="0.2">
      <c r="A1739" s="66"/>
      <c r="B1739" s="46"/>
      <c r="C1739" s="41"/>
      <c r="D1739" s="41"/>
      <c r="E1739" s="90"/>
      <c r="F1739" s="90"/>
      <c r="G1739" s="90"/>
      <c r="H1739" s="89">
        <f t="shared" si="339"/>
        <v>0</v>
      </c>
      <c r="I1739" s="90">
        <f>SUM(H1738:H1739)</f>
        <v>100.32000000000001</v>
      </c>
      <c r="J1739" s="90"/>
      <c r="K1739" s="163"/>
      <c r="L1739" s="163"/>
      <c r="M1739" s="158"/>
      <c r="N1739" s="43"/>
      <c r="O1739" s="82">
        <f t="shared" ref="O1739:O1757" si="340">K1739-J1739</f>
        <v>0</v>
      </c>
    </row>
    <row r="1740" spans="1:15" ht="18" customHeight="1" x14ac:dyDescent="0.2">
      <c r="A1740" s="66"/>
      <c r="B1740" s="46"/>
      <c r="C1740" s="41"/>
      <c r="D1740" s="41"/>
      <c r="E1740" s="90"/>
      <c r="F1740" s="90"/>
      <c r="G1740" s="90"/>
      <c r="H1740" s="90"/>
      <c r="I1740" s="90"/>
      <c r="J1740" s="90"/>
      <c r="K1740" s="163"/>
      <c r="L1740" s="163"/>
      <c r="M1740" s="158"/>
      <c r="N1740" s="43"/>
      <c r="O1740" s="82">
        <f t="shared" si="340"/>
        <v>0</v>
      </c>
    </row>
    <row r="1741" spans="1:15" ht="18" customHeight="1" x14ac:dyDescent="0.2">
      <c r="A1741" s="66" t="s">
        <v>60</v>
      </c>
      <c r="B1741" s="39" t="s">
        <v>88</v>
      </c>
      <c r="C1741" s="41" t="s">
        <v>4</v>
      </c>
      <c r="D1741" s="41"/>
      <c r="E1741" s="90"/>
      <c r="F1741" s="90"/>
      <c r="G1741" s="90"/>
      <c r="H1741" s="90"/>
      <c r="I1741" s="90"/>
      <c r="J1741" s="90">
        <f>SUM(I1742:I1747)</f>
        <v>471.68</v>
      </c>
      <c r="K1741" s="163">
        <v>490</v>
      </c>
      <c r="L1741" s="163">
        <v>20</v>
      </c>
      <c r="M1741" s="158">
        <f>+L1741*K1741</f>
        <v>9800</v>
      </c>
      <c r="N1741" s="43"/>
      <c r="O1741" s="82">
        <f t="shared" si="340"/>
        <v>18.319999999999993</v>
      </c>
    </row>
    <row r="1742" spans="1:15" ht="15.95" customHeight="1" x14ac:dyDescent="0.2">
      <c r="A1742" s="40"/>
      <c r="B1742" s="118" t="s">
        <v>505</v>
      </c>
      <c r="C1742" s="41"/>
      <c r="D1742" s="41"/>
      <c r="E1742" s="90">
        <f>J829</f>
        <v>0</v>
      </c>
      <c r="F1742" s="90"/>
      <c r="G1742" s="90"/>
      <c r="H1742" s="89">
        <f t="shared" ref="H1742" si="341">PRODUCT(D1742:G1742)</f>
        <v>0</v>
      </c>
      <c r="I1742" s="90"/>
      <c r="J1742" s="90"/>
      <c r="K1742" s="163"/>
      <c r="L1742" s="163"/>
      <c r="M1742" s="158"/>
      <c r="O1742" s="82">
        <f t="shared" si="340"/>
        <v>0</v>
      </c>
    </row>
    <row r="1743" spans="1:15" ht="15.95" customHeight="1" x14ac:dyDescent="0.2">
      <c r="A1743" s="40"/>
      <c r="B1743" s="45"/>
      <c r="C1743" s="41"/>
      <c r="D1743" s="41">
        <v>1</v>
      </c>
      <c r="E1743" s="90">
        <f>J1260+J1263+J1267+J1281</f>
        <v>140.56</v>
      </c>
      <c r="F1743" s="90">
        <v>3</v>
      </c>
      <c r="G1743" s="90">
        <v>1</v>
      </c>
      <c r="H1743" s="89">
        <f t="shared" ref="H1743" si="342">PRODUCT(D1743:G1743)</f>
        <v>421.68</v>
      </c>
      <c r="I1743" s="90"/>
      <c r="J1743" s="90"/>
      <c r="K1743" s="163"/>
      <c r="L1743" s="163"/>
      <c r="M1743" s="158"/>
      <c r="N1743" s="43"/>
      <c r="O1743" s="82">
        <f t="shared" si="340"/>
        <v>0</v>
      </c>
    </row>
    <row r="1744" spans="1:15" ht="18" customHeight="1" x14ac:dyDescent="0.2">
      <c r="A1744" s="56"/>
      <c r="B1744" s="52"/>
      <c r="C1744" s="41"/>
      <c r="D1744" s="41"/>
      <c r="E1744" s="90"/>
      <c r="F1744" s="90"/>
      <c r="G1744" s="90"/>
      <c r="H1744" s="90"/>
      <c r="I1744" s="90">
        <f>SUM(H1743:H1744)</f>
        <v>421.68</v>
      </c>
      <c r="J1744" s="90"/>
      <c r="K1744" s="163"/>
      <c r="L1744" s="163"/>
      <c r="M1744" s="158"/>
      <c r="O1744" s="82">
        <f t="shared" si="340"/>
        <v>0</v>
      </c>
    </row>
    <row r="1745" spans="1:15" ht="16.5" customHeight="1" x14ac:dyDescent="0.2">
      <c r="A1745" s="40"/>
      <c r="B1745" s="119" t="s">
        <v>506</v>
      </c>
      <c r="C1745" s="41"/>
      <c r="D1745" s="41">
        <v>1</v>
      </c>
      <c r="E1745" s="90">
        <v>50</v>
      </c>
      <c r="F1745" s="90"/>
      <c r="G1745" s="90"/>
      <c r="H1745" s="89">
        <f t="shared" ref="H1745" si="343">PRODUCT(D1745:G1745)</f>
        <v>50</v>
      </c>
      <c r="I1745" s="90"/>
      <c r="J1745" s="90"/>
      <c r="K1745" s="163"/>
      <c r="L1745" s="163"/>
      <c r="M1745" s="158"/>
      <c r="O1745" s="82">
        <f t="shared" si="340"/>
        <v>0</v>
      </c>
    </row>
    <row r="1746" spans="1:15" ht="18" customHeight="1" x14ac:dyDescent="0.2">
      <c r="A1746" s="66"/>
      <c r="B1746" s="46"/>
      <c r="C1746" s="41"/>
      <c r="D1746" s="41"/>
      <c r="E1746" s="90"/>
      <c r="F1746" s="90"/>
      <c r="G1746" s="90"/>
      <c r="H1746" s="90"/>
      <c r="I1746" s="90">
        <f>SUM(H1745)</f>
        <v>50</v>
      </c>
      <c r="J1746" s="90"/>
      <c r="K1746" s="163"/>
      <c r="L1746" s="163"/>
      <c r="M1746" s="158"/>
      <c r="N1746" s="43"/>
      <c r="O1746" s="82">
        <f t="shared" si="340"/>
        <v>0</v>
      </c>
    </row>
    <row r="1747" spans="1:15" ht="18" customHeight="1" x14ac:dyDescent="0.2">
      <c r="A1747" s="66"/>
      <c r="B1747" s="46"/>
      <c r="C1747" s="41"/>
      <c r="D1747" s="41"/>
      <c r="E1747" s="90"/>
      <c r="F1747" s="90"/>
      <c r="G1747" s="90"/>
      <c r="H1747" s="90"/>
      <c r="I1747" s="90"/>
      <c r="J1747" s="90"/>
      <c r="K1747" s="163"/>
      <c r="L1747" s="163"/>
      <c r="M1747" s="158"/>
      <c r="N1747" s="43"/>
      <c r="O1747" s="82">
        <f t="shared" si="340"/>
        <v>0</v>
      </c>
    </row>
    <row r="1748" spans="1:15" ht="18" customHeight="1" x14ac:dyDescent="0.2">
      <c r="A1748" s="250" t="s">
        <v>114</v>
      </c>
      <c r="B1748" s="251"/>
      <c r="C1748" s="251"/>
      <c r="D1748" s="251"/>
      <c r="E1748" s="251"/>
      <c r="F1748" s="251"/>
      <c r="G1748" s="251"/>
      <c r="H1748" s="251"/>
      <c r="I1748" s="251"/>
      <c r="J1748" s="251"/>
      <c r="K1748" s="251"/>
      <c r="L1748" s="252"/>
      <c r="M1748" s="159">
        <f>SUM(M1534:M1747)</f>
        <v>185100</v>
      </c>
      <c r="O1748" s="82">
        <f t="shared" si="340"/>
        <v>0</v>
      </c>
    </row>
    <row r="1749" spans="1:15" ht="18" customHeight="1" x14ac:dyDescent="0.2">
      <c r="A1749" s="69"/>
      <c r="B1749" s="70" t="s">
        <v>252</v>
      </c>
      <c r="C1749" s="71"/>
      <c r="D1749" s="71"/>
      <c r="E1749" s="93"/>
      <c r="F1749" s="93"/>
      <c r="G1749" s="93"/>
      <c r="H1749" s="93"/>
      <c r="I1749" s="93"/>
      <c r="J1749" s="93"/>
      <c r="K1749" s="167"/>
      <c r="L1749" s="167"/>
      <c r="M1749" s="158"/>
      <c r="O1749" s="82">
        <f t="shared" si="340"/>
        <v>0</v>
      </c>
    </row>
    <row r="1750" spans="1:15" ht="18" customHeight="1" x14ac:dyDescent="0.2">
      <c r="A1750" s="57" t="s">
        <v>29</v>
      </c>
      <c r="B1750" s="45" t="s">
        <v>297</v>
      </c>
      <c r="C1750" s="32" t="s">
        <v>4</v>
      </c>
      <c r="D1750" s="41">
        <v>1</v>
      </c>
      <c r="E1750" s="90">
        <v>24</v>
      </c>
      <c r="F1750" s="90">
        <v>44</v>
      </c>
      <c r="G1750" s="90"/>
      <c r="H1750" s="89">
        <f t="shared" ref="H1750" si="344">PRODUCT(D1750:G1750)</f>
        <v>1056</v>
      </c>
      <c r="I1750" s="90">
        <f>H1750</f>
        <v>1056</v>
      </c>
      <c r="J1750" s="90">
        <f>I1750</f>
        <v>1056</v>
      </c>
      <c r="K1750" s="163">
        <v>1056</v>
      </c>
      <c r="L1750" s="163">
        <v>130</v>
      </c>
      <c r="M1750" s="158">
        <f t="shared" ref="M1750" si="345">+L1750*K1750</f>
        <v>137280</v>
      </c>
      <c r="N1750" s="43"/>
      <c r="O1750" s="82">
        <f t="shared" si="340"/>
        <v>0</v>
      </c>
    </row>
    <row r="1751" spans="1:15" ht="18" customHeight="1" x14ac:dyDescent="0.2">
      <c r="A1751" s="250" t="s">
        <v>115</v>
      </c>
      <c r="B1751" s="251"/>
      <c r="C1751" s="251"/>
      <c r="D1751" s="251"/>
      <c r="E1751" s="251"/>
      <c r="F1751" s="251"/>
      <c r="G1751" s="251"/>
      <c r="H1751" s="251"/>
      <c r="I1751" s="251"/>
      <c r="J1751" s="251"/>
      <c r="K1751" s="251"/>
      <c r="L1751" s="252"/>
      <c r="M1751" s="159">
        <f>SUM(M1749:M1750)</f>
        <v>137280</v>
      </c>
      <c r="O1751" s="82">
        <f t="shared" si="340"/>
        <v>0</v>
      </c>
    </row>
    <row r="1752" spans="1:15" ht="18" customHeight="1" x14ac:dyDescent="0.2">
      <c r="A1752" s="40"/>
      <c r="B1752" s="62" t="s">
        <v>253</v>
      </c>
      <c r="C1752" s="41"/>
      <c r="D1752" s="41"/>
      <c r="E1752" s="90"/>
      <c r="F1752" s="90"/>
      <c r="G1752" s="90"/>
      <c r="H1752" s="90"/>
      <c r="I1752" s="90"/>
      <c r="J1752" s="90"/>
      <c r="K1752" s="163"/>
      <c r="L1752" s="168"/>
      <c r="M1752" s="158"/>
      <c r="O1752" s="82">
        <f t="shared" si="340"/>
        <v>0</v>
      </c>
    </row>
    <row r="1753" spans="1:15" s="5" customFormat="1" ht="17.100000000000001" customHeight="1" x14ac:dyDescent="0.2">
      <c r="A1753" s="56" t="s">
        <v>61</v>
      </c>
      <c r="B1753" s="46" t="s">
        <v>132</v>
      </c>
      <c r="C1753" s="41" t="s">
        <v>5</v>
      </c>
      <c r="D1753" s="41"/>
      <c r="E1753" s="90"/>
      <c r="F1753" s="90"/>
      <c r="G1753" s="90"/>
      <c r="H1753" s="90"/>
      <c r="I1753" s="90"/>
      <c r="J1753" s="90"/>
      <c r="K1753" s="157">
        <v>300</v>
      </c>
      <c r="L1753" s="157">
        <v>25</v>
      </c>
      <c r="M1753" s="158">
        <f>+L1753*K1753</f>
        <v>7500</v>
      </c>
      <c r="N1753" s="34"/>
      <c r="O1753" s="82">
        <f t="shared" si="340"/>
        <v>300</v>
      </c>
    </row>
    <row r="1754" spans="1:15" ht="18" customHeight="1" x14ac:dyDescent="0.2">
      <c r="A1754" s="56" t="s">
        <v>65</v>
      </c>
      <c r="B1754" s="46" t="s">
        <v>131</v>
      </c>
      <c r="C1754" s="32" t="s">
        <v>76</v>
      </c>
      <c r="D1754" s="41"/>
      <c r="E1754" s="90"/>
      <c r="F1754" s="90"/>
      <c r="G1754" s="90"/>
      <c r="H1754" s="90"/>
      <c r="I1754" s="90"/>
      <c r="J1754" s="90"/>
      <c r="K1754" s="163">
        <v>120</v>
      </c>
      <c r="L1754" s="163">
        <v>30</v>
      </c>
      <c r="M1754" s="158">
        <f>+L1754*K1754</f>
        <v>3600</v>
      </c>
      <c r="N1754" s="43"/>
      <c r="O1754" s="82">
        <f t="shared" si="340"/>
        <v>120</v>
      </c>
    </row>
    <row r="1755" spans="1:15" ht="18" customHeight="1" x14ac:dyDescent="0.2">
      <c r="A1755" s="56" t="s">
        <v>66</v>
      </c>
      <c r="B1755" s="46" t="s">
        <v>129</v>
      </c>
      <c r="C1755" s="32" t="s">
        <v>76</v>
      </c>
      <c r="D1755" s="41"/>
      <c r="E1755" s="90"/>
      <c r="F1755" s="90"/>
      <c r="G1755" s="90"/>
      <c r="H1755" s="90"/>
      <c r="I1755" s="90"/>
      <c r="J1755" s="90"/>
      <c r="K1755" s="163">
        <v>20</v>
      </c>
      <c r="L1755" s="163">
        <v>700</v>
      </c>
      <c r="M1755" s="158">
        <f>+L1755*K1755</f>
        <v>14000</v>
      </c>
      <c r="N1755" s="43"/>
      <c r="O1755" s="82">
        <f t="shared" si="340"/>
        <v>20</v>
      </c>
    </row>
    <row r="1756" spans="1:15" ht="18" customHeight="1" x14ac:dyDescent="0.2">
      <c r="A1756" s="56" t="s">
        <v>67</v>
      </c>
      <c r="B1756" s="46" t="s">
        <v>130</v>
      </c>
      <c r="C1756" s="32" t="s">
        <v>76</v>
      </c>
      <c r="D1756" s="41"/>
      <c r="E1756" s="90"/>
      <c r="F1756" s="90"/>
      <c r="G1756" s="90"/>
      <c r="H1756" s="90"/>
      <c r="I1756" s="90"/>
      <c r="J1756" s="90"/>
      <c r="K1756" s="163">
        <v>20</v>
      </c>
      <c r="L1756" s="163">
        <v>800</v>
      </c>
      <c r="M1756" s="158">
        <f>+L1756*K1756</f>
        <v>16000</v>
      </c>
      <c r="N1756" s="43"/>
      <c r="O1756" s="82">
        <f t="shared" si="340"/>
        <v>20</v>
      </c>
    </row>
    <row r="1757" spans="1:15" ht="18" customHeight="1" x14ac:dyDescent="0.2">
      <c r="A1757" s="250" t="s">
        <v>116</v>
      </c>
      <c r="B1757" s="251"/>
      <c r="C1757" s="251"/>
      <c r="D1757" s="251"/>
      <c r="E1757" s="251"/>
      <c r="F1757" s="251"/>
      <c r="G1757" s="251"/>
      <c r="H1757" s="251"/>
      <c r="I1757" s="251"/>
      <c r="J1757" s="251"/>
      <c r="K1757" s="251"/>
      <c r="L1757" s="252"/>
      <c r="M1757" s="159">
        <f>SUM(M1752:M1756)</f>
        <v>41100</v>
      </c>
      <c r="O1757" s="82">
        <f t="shared" si="340"/>
        <v>0</v>
      </c>
    </row>
    <row r="1758" spans="1:15" ht="18" customHeight="1" x14ac:dyDescent="0.2">
      <c r="A1758" s="2"/>
      <c r="B1758" s="3"/>
      <c r="C1758" s="3"/>
      <c r="D1758" s="3"/>
      <c r="E1758" s="94"/>
      <c r="F1758" s="94"/>
      <c r="G1758" s="94"/>
      <c r="H1758" s="94"/>
      <c r="I1758" s="94"/>
      <c r="J1758" s="94"/>
      <c r="M1758" s="170"/>
    </row>
    <row r="1759" spans="1:15" ht="18" customHeight="1" x14ac:dyDescent="0.2">
      <c r="A1759" s="247" t="s">
        <v>117</v>
      </c>
      <c r="B1759" s="247"/>
      <c r="C1759" s="247"/>
      <c r="D1759" s="85"/>
      <c r="E1759" s="95"/>
      <c r="F1759" s="95"/>
      <c r="G1759" s="95"/>
      <c r="H1759" s="95"/>
      <c r="I1759" s="95"/>
      <c r="J1759" s="95"/>
      <c r="K1759" s="264">
        <f>M1757+M1751+M1748+M1533+M1464+M1321+M1184+M910+M846</f>
        <v>3526930</v>
      </c>
      <c r="L1759" s="264"/>
      <c r="M1759" s="264"/>
      <c r="O1759" s="82"/>
    </row>
    <row r="1760" spans="1:15" ht="18" customHeight="1" x14ac:dyDescent="0.2">
      <c r="A1760" s="247" t="s">
        <v>118</v>
      </c>
      <c r="B1760" s="247"/>
      <c r="C1760" s="247"/>
      <c r="D1760" s="85"/>
      <c r="E1760" s="95"/>
      <c r="F1760" s="95"/>
      <c r="G1760" s="95"/>
      <c r="H1760" s="95"/>
      <c r="I1760" s="95"/>
      <c r="J1760" s="95"/>
      <c r="K1760" s="264">
        <f>K1759*0.2</f>
        <v>705386</v>
      </c>
      <c r="L1760" s="264"/>
      <c r="M1760" s="264"/>
      <c r="O1760" s="15"/>
    </row>
    <row r="1761" spans="1:14" ht="18" customHeight="1" x14ac:dyDescent="0.2">
      <c r="A1761" s="247" t="s">
        <v>119</v>
      </c>
      <c r="B1761" s="247"/>
      <c r="C1761" s="247"/>
      <c r="D1761" s="85"/>
      <c r="E1761" s="95"/>
      <c r="F1761" s="95"/>
      <c r="G1761" s="95"/>
      <c r="H1761" s="95"/>
      <c r="I1761" s="95"/>
      <c r="J1761" s="95"/>
      <c r="K1761" s="264">
        <f>K1760+K1759</f>
        <v>4232316</v>
      </c>
      <c r="L1761" s="264"/>
      <c r="M1761" s="264"/>
    </row>
    <row r="1762" spans="1:14" ht="18" customHeight="1" x14ac:dyDescent="0.2"/>
    <row r="1763" spans="1:14" ht="18" customHeight="1" x14ac:dyDescent="0.2">
      <c r="A1763" s="16"/>
      <c r="B1763" s="262" t="s">
        <v>426</v>
      </c>
      <c r="C1763" s="262"/>
      <c r="D1763" s="262"/>
      <c r="E1763" s="262"/>
      <c r="F1763" s="262"/>
      <c r="G1763" s="262"/>
      <c r="H1763" s="262"/>
      <c r="I1763" s="262"/>
      <c r="J1763" s="262"/>
      <c r="K1763" s="262"/>
      <c r="L1763" s="265">
        <f>K1759</f>
        <v>3526930</v>
      </c>
      <c r="M1763" s="265"/>
    </row>
    <row r="1764" spans="1:14" ht="18" customHeight="1" x14ac:dyDescent="0.2">
      <c r="B1764" s="262" t="s">
        <v>430</v>
      </c>
      <c r="C1764" s="262"/>
      <c r="D1764" s="262"/>
      <c r="E1764" s="262"/>
      <c r="F1764" s="262"/>
      <c r="G1764" s="262"/>
      <c r="H1764" s="262"/>
      <c r="I1764" s="262"/>
      <c r="J1764" s="262"/>
      <c r="K1764" s="262"/>
      <c r="L1764" s="263">
        <f>+L1763*20%</f>
        <v>705386</v>
      </c>
      <c r="M1764" s="263"/>
    </row>
    <row r="1765" spans="1:14" ht="18" customHeight="1" x14ac:dyDescent="0.2">
      <c r="B1765" s="262" t="s">
        <v>431</v>
      </c>
      <c r="C1765" s="262"/>
      <c r="D1765" s="262"/>
      <c r="E1765" s="262"/>
      <c r="F1765" s="262"/>
      <c r="G1765" s="262"/>
      <c r="H1765" s="262"/>
      <c r="I1765" s="262"/>
      <c r="J1765" s="262"/>
      <c r="K1765" s="262"/>
      <c r="L1765" s="263">
        <f>+L1764+L1763</f>
        <v>4232316</v>
      </c>
      <c r="M1765" s="263"/>
      <c r="N1765" s="8"/>
    </row>
    <row r="1766" spans="1:14" s="1" customFormat="1" ht="37.15" customHeight="1" x14ac:dyDescent="0.35">
      <c r="A1766" s="244"/>
      <c r="B1766" s="244"/>
      <c r="C1766" s="244"/>
      <c r="D1766" s="244"/>
      <c r="E1766" s="244"/>
      <c r="F1766" s="244"/>
      <c r="G1766" s="244"/>
      <c r="H1766" s="244"/>
      <c r="I1766" s="244"/>
      <c r="J1766" s="244"/>
      <c r="K1766" s="244"/>
      <c r="L1766" s="244"/>
      <c r="M1766" s="244"/>
      <c r="N1766" s="9"/>
    </row>
    <row r="1767" spans="1:14" ht="18" customHeight="1" x14ac:dyDescent="0.2">
      <c r="A1767" s="5"/>
      <c r="C1767" s="5"/>
      <c r="D1767" s="5"/>
      <c r="E1767" s="97"/>
      <c r="F1767" s="97"/>
      <c r="G1767" s="97"/>
      <c r="H1767" s="97"/>
      <c r="I1767" s="97"/>
      <c r="J1767" s="97"/>
    </row>
    <row r="1768" spans="1:14" ht="18" customHeight="1" x14ac:dyDescent="0.2">
      <c r="A1768" s="5"/>
      <c r="C1768" s="5"/>
      <c r="D1768" s="5"/>
      <c r="E1768" s="97"/>
      <c r="F1768" s="97"/>
      <c r="G1768" s="97"/>
      <c r="H1768" s="97"/>
      <c r="I1768" s="97"/>
      <c r="J1768" s="97"/>
    </row>
    <row r="2243" ht="13.15" customHeight="1" x14ac:dyDescent="0.2"/>
    <row r="2244" ht="13.15" customHeight="1" x14ac:dyDescent="0.2"/>
    <row r="2245" ht="13.15" customHeight="1" x14ac:dyDescent="0.2"/>
    <row r="2246" ht="13.15" customHeight="1" x14ac:dyDescent="0.2"/>
    <row r="2275" ht="13.15" customHeight="1" x14ac:dyDescent="0.2"/>
    <row r="2284" ht="13.15" customHeight="1" x14ac:dyDescent="0.2"/>
  </sheetData>
  <mergeCells count="36">
    <mergeCell ref="B1764:K1764"/>
    <mergeCell ref="L1764:M1764"/>
    <mergeCell ref="B1765:K1765"/>
    <mergeCell ref="L1765:M1765"/>
    <mergeCell ref="A1766:M1766"/>
    <mergeCell ref="A1760:C1760"/>
    <mergeCell ref="K1760:M1760"/>
    <mergeCell ref="A1761:C1761"/>
    <mergeCell ref="K1761:M1761"/>
    <mergeCell ref="B1763:K1763"/>
    <mergeCell ref="L1763:M1763"/>
    <mergeCell ref="A1748:L1748"/>
    <mergeCell ref="A1751:L1751"/>
    <mergeCell ref="A1757:L1757"/>
    <mergeCell ref="A1759:C1759"/>
    <mergeCell ref="K1759:M1759"/>
    <mergeCell ref="A1301:L1301"/>
    <mergeCell ref="A1320:L1320"/>
    <mergeCell ref="A1321:L1321"/>
    <mergeCell ref="A1464:L1464"/>
    <mergeCell ref="A1533:L1533"/>
    <mergeCell ref="A846:L846"/>
    <mergeCell ref="A910:L910"/>
    <mergeCell ref="A1184:L1184"/>
    <mergeCell ref="A1230:L1230"/>
    <mergeCell ref="A1258:L1258"/>
    <mergeCell ref="A299:L299"/>
    <mergeCell ref="A436:L436"/>
    <mergeCell ref="A585:L585"/>
    <mergeCell ref="A817:L817"/>
    <mergeCell ref="A845:L845"/>
    <mergeCell ref="A1:M1"/>
    <mergeCell ref="A59:L59"/>
    <mergeCell ref="A171:L171"/>
    <mergeCell ref="A219:L219"/>
    <mergeCell ref="A263:L263"/>
  </mergeCells>
  <phoneticPr fontId="17" type="noConversion"/>
  <pageMargins left="0.7" right="0.7" top="0.75" bottom="0.75" header="0.3" footer="0.3"/>
  <pageSetup paperSize="9" scale="56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topLeftCell="A4" zoomScale="76" zoomScaleNormal="76" workbookViewId="0">
      <selection activeCell="E24" sqref="E24"/>
    </sheetView>
  </sheetViews>
  <sheetFormatPr baseColWidth="10" defaultColWidth="11.42578125" defaultRowHeight="12.75" x14ac:dyDescent="0.2"/>
  <cols>
    <col min="1" max="1" width="6.5703125" customWidth="1"/>
    <col min="2" max="2" width="8.28515625" customWidth="1"/>
    <col min="3" max="3" width="41.42578125" customWidth="1"/>
    <col min="4" max="4" width="14.85546875" customWidth="1"/>
    <col min="5" max="5" width="20.28515625" customWidth="1"/>
  </cols>
  <sheetData>
    <row r="1" spans="2:7" ht="15.75" customHeight="1" x14ac:dyDescent="0.2">
      <c r="B1" s="267" t="s">
        <v>558</v>
      </c>
      <c r="C1" s="267"/>
      <c r="D1" s="267"/>
      <c r="E1" s="267"/>
    </row>
    <row r="2" spans="2:7" ht="15.75" customHeight="1" x14ac:dyDescent="0.2">
      <c r="B2" s="267"/>
      <c r="C2" s="267"/>
      <c r="D2" s="267"/>
      <c r="E2" s="267"/>
      <c r="F2" s="268"/>
      <c r="G2" s="268"/>
    </row>
    <row r="3" spans="2:7" ht="15.75" customHeight="1" x14ac:dyDescent="0.2">
      <c r="C3" s="269" t="str">
        <f>[1]DONNEES!B2</f>
        <v>PROJET : CONSTRUCTION ECOLE AL FIRDAOUS</v>
      </c>
      <c r="D3" s="269"/>
      <c r="E3" s="269"/>
      <c r="F3" s="268"/>
      <c r="G3" s="268"/>
    </row>
    <row r="4" spans="2:7" ht="15" customHeight="1" x14ac:dyDescent="0.2">
      <c r="B4" s="173"/>
      <c r="C4" s="269"/>
      <c r="D4" s="269"/>
      <c r="E4" s="269"/>
      <c r="F4" s="268"/>
      <c r="G4" s="268"/>
    </row>
    <row r="5" spans="2:7" ht="15" customHeight="1" x14ac:dyDescent="0.25">
      <c r="B5" s="173"/>
      <c r="C5" s="270" t="str">
        <f>[1]DONNEES!B3</f>
        <v>MAITRE OUVRAGE: DP AGADIR</v>
      </c>
      <c r="D5" s="270"/>
      <c r="E5" s="270"/>
    </row>
    <row r="6" spans="2:7" ht="14.25" x14ac:dyDescent="0.2">
      <c r="C6" s="266" t="s">
        <v>559</v>
      </c>
      <c r="D6" s="266"/>
      <c r="E6" s="266"/>
      <c r="F6" s="174"/>
      <c r="G6" s="174"/>
    </row>
    <row r="8" spans="2:7" ht="15" customHeight="1" x14ac:dyDescent="0.25">
      <c r="C8" s="175" t="s">
        <v>560</v>
      </c>
      <c r="D8" s="176">
        <f>'[2]ADMI &amp; SANI'!D8+[2]CLASSES!D8+[2]GUERITE!D8</f>
        <v>371.24000000000007</v>
      </c>
      <c r="E8" s="177" t="s">
        <v>561</v>
      </c>
    </row>
    <row r="9" spans="2:7" ht="15" customHeight="1" x14ac:dyDescent="0.25">
      <c r="C9" s="175"/>
      <c r="D9" s="178"/>
      <c r="E9" s="179"/>
    </row>
    <row r="10" spans="2:7" ht="15" x14ac:dyDescent="0.25">
      <c r="C10" s="175" t="s">
        <v>562</v>
      </c>
      <c r="D10">
        <f>'[2]ADMI &amp; SANI'!D10+[2]CLASSES!D10+[2]GUERITE!D10</f>
        <v>552.32000000000005</v>
      </c>
    </row>
    <row r="11" spans="2:7" ht="15.75" thickBot="1" x14ac:dyDescent="0.3">
      <c r="C11" s="175"/>
    </row>
    <row r="12" spans="2:7" ht="21" thickBot="1" x14ac:dyDescent="0.25">
      <c r="B12" s="180"/>
      <c r="C12" s="181" t="s">
        <v>563</v>
      </c>
      <c r="D12" s="182" t="s">
        <v>564</v>
      </c>
      <c r="E12" s="183" t="s">
        <v>565</v>
      </c>
    </row>
    <row r="13" spans="2:7" ht="21.75" thickBot="1" x14ac:dyDescent="0.3">
      <c r="B13" s="184" t="s">
        <v>75</v>
      </c>
      <c r="C13" s="185" t="s">
        <v>566</v>
      </c>
      <c r="D13" s="186"/>
      <c r="E13" s="187"/>
    </row>
    <row r="14" spans="2:7" ht="25.5" customHeight="1" thickBot="1" x14ac:dyDescent="0.3">
      <c r="B14" s="184" t="s">
        <v>567</v>
      </c>
      <c r="C14" s="188" t="s">
        <v>568</v>
      </c>
      <c r="D14" s="189" t="s">
        <v>561</v>
      </c>
      <c r="E14" s="190">
        <f>'[2]ADMI &amp; SANI'!E14+[2]CLASSES!E14+[2]GUERITE!E14</f>
        <v>371.24000000000007</v>
      </c>
    </row>
    <row r="15" spans="2:7" ht="25.5" customHeight="1" thickBot="1" x14ac:dyDescent="0.3">
      <c r="B15" s="184" t="s">
        <v>569</v>
      </c>
      <c r="C15" s="191" t="str">
        <f>'[3]detail calcul'!B13</f>
        <v>Fouille en puits en tranchées et en rigoles</v>
      </c>
      <c r="D15" s="192" t="s">
        <v>570</v>
      </c>
      <c r="E15" s="190">
        <f>'[2]ADMI &amp; SANI'!E15+[2]CLASSES!E15+[2]GUERITE!E15</f>
        <v>333.07499999999999</v>
      </c>
    </row>
    <row r="16" spans="2:7" ht="25.5" hidden="1" customHeight="1" x14ac:dyDescent="0.25">
      <c r="B16" s="184" t="s">
        <v>571</v>
      </c>
      <c r="C16" s="191" t="s">
        <v>572</v>
      </c>
      <c r="D16" s="192" t="s">
        <v>570</v>
      </c>
      <c r="E16" s="190">
        <f>'[2]ADMI &amp; SANI'!E16+[2]CLASSES!E16+[2]GUERITE!E16</f>
        <v>0</v>
      </c>
    </row>
    <row r="17" spans="2:7" ht="25.5" customHeight="1" thickBot="1" x14ac:dyDescent="0.3">
      <c r="B17" s="184" t="s">
        <v>573</v>
      </c>
      <c r="C17" s="191" t="str">
        <f>'[3]detail calcul'!B66</f>
        <v>Remblaiment ou Evacuation</v>
      </c>
      <c r="D17" s="192" t="s">
        <v>570</v>
      </c>
      <c r="E17" s="190">
        <f>'[2]ADMI &amp; SANI'!E17+[2]CLASSES!E17+[2]GUERITE!E17</f>
        <v>704.31500000000005</v>
      </c>
      <c r="G17" s="193"/>
    </row>
    <row r="18" spans="2:7" ht="25.5" customHeight="1" thickBot="1" x14ac:dyDescent="0.3">
      <c r="B18" s="184"/>
      <c r="C18" s="185" t="s">
        <v>574</v>
      </c>
      <c r="D18" s="192"/>
      <c r="E18" s="190"/>
      <c r="G18" s="193"/>
    </row>
    <row r="19" spans="2:7" ht="25.5" customHeight="1" thickBot="1" x14ac:dyDescent="0.3">
      <c r="B19" s="184" t="s">
        <v>575</v>
      </c>
      <c r="C19" s="191" t="str">
        <f>'[1]detail calcul'!B25</f>
        <v>Béton de propreté</v>
      </c>
      <c r="D19" s="192" t="s">
        <v>570</v>
      </c>
      <c r="E19" s="190">
        <f>'[2]ADMI &amp; SANI'!E19+[2]CLASSES!E19+[2]GUERITE!E19</f>
        <v>24.551749999999998</v>
      </c>
      <c r="G19" s="193"/>
    </row>
    <row r="20" spans="2:7" ht="25.5" customHeight="1" thickBot="1" x14ac:dyDescent="0.3">
      <c r="B20" s="184" t="s">
        <v>576</v>
      </c>
      <c r="C20" s="191" t="s">
        <v>77</v>
      </c>
      <c r="D20" s="192" t="s">
        <v>570</v>
      </c>
      <c r="E20" s="190">
        <f>'[2]ADMI &amp; SANI'!E20+[2]CLASSES!E20+[2]GUERITE!E20</f>
        <v>2.5859999999999999</v>
      </c>
    </row>
    <row r="21" spans="2:7" ht="25.5" customHeight="1" thickBot="1" x14ac:dyDescent="0.3">
      <c r="B21" s="184" t="s">
        <v>577</v>
      </c>
      <c r="C21" s="191" t="s">
        <v>578</v>
      </c>
      <c r="D21" s="192" t="s">
        <v>570</v>
      </c>
      <c r="E21" s="190">
        <f>'[2]ADMI &amp; SANI'!E21+[2]CLASSES!E21+[2]GUERITE!E21</f>
        <v>44.009999999999991</v>
      </c>
    </row>
    <row r="22" spans="2:7" ht="25.5" customHeight="1" thickBot="1" x14ac:dyDescent="0.3">
      <c r="B22" s="184" t="s">
        <v>579</v>
      </c>
      <c r="C22" s="191" t="s">
        <v>580</v>
      </c>
      <c r="D22" s="192" t="s">
        <v>561</v>
      </c>
      <c r="E22" s="190">
        <f>'[2]ADMI &amp; SANI'!E22+[2]CLASSES!E22+[2]GUERITE!E22</f>
        <v>136.92000000000002</v>
      </c>
    </row>
    <row r="23" spans="2:7" ht="25.5" customHeight="1" thickBot="1" x14ac:dyDescent="0.3">
      <c r="B23" s="184" t="s">
        <v>581</v>
      </c>
      <c r="C23" s="191" t="s">
        <v>582</v>
      </c>
      <c r="D23" s="192" t="s">
        <v>561</v>
      </c>
      <c r="E23" s="190">
        <f>'[2]ADMI &amp; SANI'!E23+[2]CLASSES!E23+[2]GUERITE!E23</f>
        <v>3.0599999999999996</v>
      </c>
    </row>
    <row r="24" spans="2:7" ht="25.5" customHeight="1" thickBot="1" x14ac:dyDescent="0.3">
      <c r="B24" s="184" t="s">
        <v>583</v>
      </c>
      <c r="C24" s="191" t="str">
        <f>'[1]detail calcul'!B43</f>
        <v>Béton pour Béton armée en Fondation</v>
      </c>
      <c r="D24" s="192" t="s">
        <v>570</v>
      </c>
      <c r="E24" s="190">
        <f>'[2]ADMI &amp; SANI'!E24+[2]CLASSES!E24+[2]GUERITE!E24</f>
        <v>76.294575000000023</v>
      </c>
      <c r="G24" s="193"/>
    </row>
    <row r="25" spans="2:7" ht="25.5" customHeight="1" thickBot="1" x14ac:dyDescent="0.3">
      <c r="B25" s="184" t="s">
        <v>584</v>
      </c>
      <c r="C25" s="191" t="str">
        <f>'[1]detail calcul'!B56</f>
        <v>Acier pour Béton armée en Fondation</v>
      </c>
      <c r="D25" s="192" t="s">
        <v>79</v>
      </c>
      <c r="E25" s="190">
        <f>'[2]ADMI &amp; SANI'!E25+[2]CLASSES!E25+[2]GUERITE!E25</f>
        <v>8392.4032500000012</v>
      </c>
      <c r="F25">
        <f>+E25/E24</f>
        <v>109.99999999999999</v>
      </c>
      <c r="G25" s="193"/>
    </row>
    <row r="26" spans="2:7" ht="25.5" customHeight="1" thickBot="1" x14ac:dyDescent="0.3">
      <c r="B26" s="184" t="s">
        <v>585</v>
      </c>
      <c r="C26" s="191" t="str">
        <f>'[1]detail calcul'!B59</f>
        <v>Dalle de forme e=13cm T8 e=15 y/c d'acier</v>
      </c>
      <c r="D26" s="192" t="s">
        <v>586</v>
      </c>
      <c r="E26" s="190">
        <f>'[2]ADMI &amp; SANI'!E26+[2]CLASSES!E26+[2]GUERITE!E26</f>
        <v>371.24000000000007</v>
      </c>
      <c r="G26" s="193"/>
    </row>
    <row r="27" spans="2:7" ht="25.5" customHeight="1" thickBot="1" x14ac:dyDescent="0.3">
      <c r="B27" s="184" t="s">
        <v>587</v>
      </c>
      <c r="C27" s="191" t="s">
        <v>588</v>
      </c>
      <c r="D27" s="192" t="s">
        <v>586</v>
      </c>
      <c r="E27" s="190">
        <f>'[2]ADMI &amp; SANI'!E27+[2]CLASSES!E27+[2]GUERITE!E27</f>
        <v>176.15999999999997</v>
      </c>
      <c r="G27" s="193"/>
    </row>
    <row r="28" spans="2:7" ht="25.5" customHeight="1" thickBot="1" x14ac:dyDescent="0.3">
      <c r="B28" s="184" t="s">
        <v>589</v>
      </c>
      <c r="C28" s="191" t="s">
        <v>590</v>
      </c>
      <c r="D28" s="192" t="s">
        <v>586</v>
      </c>
      <c r="E28" s="190">
        <f>'[2]ADMI &amp; SANI'!E28+[2]CLASSES!E28+[2]GUERITE!E28</f>
        <v>720.31999999999994</v>
      </c>
    </row>
    <row r="29" spans="2:7" ht="25.5" customHeight="1" thickBot="1" x14ac:dyDescent="0.3">
      <c r="B29" s="184"/>
      <c r="C29" s="185" t="s">
        <v>574</v>
      </c>
      <c r="D29" s="192"/>
      <c r="E29" s="190"/>
    </row>
    <row r="30" spans="2:7" ht="25.5" customHeight="1" thickBot="1" x14ac:dyDescent="0.3">
      <c r="B30" s="184" t="s">
        <v>591</v>
      </c>
      <c r="C30" s="191" t="str">
        <f>'[1]detail calcul'!B67</f>
        <v xml:space="preserve">Béton pour Béton armée en Elevation </v>
      </c>
      <c r="D30" s="192" t="s">
        <v>570</v>
      </c>
      <c r="E30" s="190">
        <f>'[2]ADMI &amp; SANI'!E30+[2]CLASSES!E30+[2]GUERITE!E30</f>
        <v>93.500460000000018</v>
      </c>
      <c r="G30" s="194"/>
    </row>
    <row r="31" spans="2:7" ht="16.5" thickBot="1" x14ac:dyDescent="0.3">
      <c r="B31" s="184" t="s">
        <v>592</v>
      </c>
      <c r="C31" s="191" t="str">
        <f>'[1]detail calcul'!B79</f>
        <v>Acier pour Béton armée en Elevation</v>
      </c>
      <c r="D31" s="192" t="s">
        <v>79</v>
      </c>
      <c r="E31" s="190">
        <f>'[2]ADMI &amp; SANI'!E31+[2]CLASSES!E31+[2]GUERITE!E31</f>
        <v>13557.566700000003</v>
      </c>
      <c r="F31">
        <f>+E31/E30</f>
        <v>145</v>
      </c>
    </row>
    <row r="32" spans="2:7" ht="25.5" customHeight="1" thickBot="1" x14ac:dyDescent="0.3">
      <c r="B32" s="184" t="s">
        <v>593</v>
      </c>
      <c r="C32" s="191" t="s">
        <v>594</v>
      </c>
      <c r="D32" s="192" t="s">
        <v>376</v>
      </c>
      <c r="E32" s="190">
        <f>'[2]ADMI &amp; SANI'!E32+[2]CLASSES!E32+[2]GUERITE!E32</f>
        <v>13.9</v>
      </c>
    </row>
    <row r="33" spans="2:7" ht="25.5" customHeight="1" thickBot="1" x14ac:dyDescent="0.3">
      <c r="B33" s="184" t="s">
        <v>595</v>
      </c>
      <c r="C33" s="191" t="s">
        <v>596</v>
      </c>
      <c r="D33" s="192" t="s">
        <v>376</v>
      </c>
      <c r="E33" s="190">
        <f>'[2]ADMI &amp; SANI'!E33+[2]CLASSES!E33+[2]GUERITE!E33</f>
        <v>13.9</v>
      </c>
    </row>
    <row r="34" spans="2:7" ht="21.75" thickBot="1" x14ac:dyDescent="0.3">
      <c r="B34" s="184"/>
      <c r="C34" s="185" t="str">
        <f>'[1]detail calcul'!B90</f>
        <v>PLANCHER EN HOURDIS</v>
      </c>
      <c r="D34" s="192"/>
      <c r="E34" s="190"/>
    </row>
    <row r="35" spans="2:7" ht="16.5" thickBot="1" x14ac:dyDescent="0.3">
      <c r="B35" s="184" t="s">
        <v>595</v>
      </c>
      <c r="C35" s="191" t="str">
        <f>'[1]detail calcul'!B91</f>
        <v>a/ 15+5</v>
      </c>
      <c r="D35" s="192" t="s">
        <v>586</v>
      </c>
      <c r="E35" s="190">
        <f>'[2]ADMI &amp; SANI'!E35+[2]CLASSES!E35+[2]GUERITE!E35</f>
        <v>279.49</v>
      </c>
    </row>
    <row r="36" spans="2:7" ht="16.5" thickBot="1" x14ac:dyDescent="0.3">
      <c r="B36" s="184" t="s">
        <v>597</v>
      </c>
      <c r="C36" s="191" t="s">
        <v>598</v>
      </c>
      <c r="D36" s="192" t="s">
        <v>586</v>
      </c>
      <c r="E36" s="190">
        <f>'[2]ADMI &amp; SANI'!E36+[2]CLASSES!E36+[2]GUERITE!E36</f>
        <v>239.36</v>
      </c>
      <c r="G36" s="195"/>
    </row>
    <row r="37" spans="2:7" ht="21.75" thickBot="1" x14ac:dyDescent="0.3">
      <c r="B37" s="184"/>
      <c r="C37" s="185" t="s">
        <v>599</v>
      </c>
      <c r="D37" s="180"/>
      <c r="E37" s="190"/>
    </row>
    <row r="38" spans="2:7" ht="16.5" thickBot="1" x14ac:dyDescent="0.3">
      <c r="B38" s="184" t="s">
        <v>600</v>
      </c>
      <c r="C38" s="191" t="str">
        <f>'[1]detail calcul'!B96</f>
        <v xml:space="preserve">a/ Forme de Pente </v>
      </c>
      <c r="D38" s="192" t="str">
        <f>'[1]detail calcul'!C96</f>
        <v>m²</v>
      </c>
      <c r="E38" s="190">
        <f>'[2]ADMI &amp; SANI'!E38+[2]CLASSES!E38+[2]GUERITE!E38</f>
        <v>358.09999999999997</v>
      </c>
    </row>
    <row r="39" spans="2:7" ht="16.5" thickBot="1" x14ac:dyDescent="0.3">
      <c r="B39" s="184" t="s">
        <v>601</v>
      </c>
      <c r="C39" s="191" t="str">
        <f>'[1]detail calcul'!B109</f>
        <v xml:space="preserve">b/ Chape de Lissage </v>
      </c>
      <c r="D39" s="192" t="str">
        <f>'[1]detail calcul'!C109</f>
        <v>m²</v>
      </c>
      <c r="E39" s="190">
        <f>'[2]ADMI &amp; SANI'!E39+[2]CLASSES!E39+[2]GUERITE!E39</f>
        <v>358.09999999999997</v>
      </c>
    </row>
    <row r="40" spans="2:7" ht="16.5" thickBot="1" x14ac:dyDescent="0.3">
      <c r="B40" s="184" t="s">
        <v>602</v>
      </c>
      <c r="C40" s="191" t="str">
        <f>'[1]detail calcul'!B113</f>
        <v>c/ Complexe d'étanchéité</v>
      </c>
      <c r="D40" s="192" t="str">
        <f>'[1]detail calcul'!C113</f>
        <v>m²</v>
      </c>
      <c r="E40" s="190">
        <f>'[2]ADMI &amp; SANI'!E40+[2]CLASSES!E40+[2]GUERITE!E40</f>
        <v>358.09999999999997</v>
      </c>
    </row>
    <row r="41" spans="2:7" ht="16.5" thickBot="1" x14ac:dyDescent="0.3">
      <c r="B41" s="184" t="s">
        <v>603</v>
      </c>
      <c r="C41" s="191" t="str">
        <f>'[1]detail calcul'!B117</f>
        <v>d/ Reliefs d'étanchéité</v>
      </c>
      <c r="D41" s="192" t="str">
        <f>'[1]detail calcul'!C117</f>
        <v>ml</v>
      </c>
      <c r="E41" s="190">
        <f>'[2]ADMI &amp; SANI'!E41+[2]CLASSES!E41+[2]GUERITE!E41</f>
        <v>163</v>
      </c>
    </row>
    <row r="42" spans="2:7" ht="16.5" thickBot="1" x14ac:dyDescent="0.3">
      <c r="B42" s="184" t="s">
        <v>604</v>
      </c>
      <c r="C42" s="191" t="s">
        <v>605</v>
      </c>
      <c r="D42" s="192" t="s">
        <v>376</v>
      </c>
      <c r="E42" s="190">
        <f>'[2]ADMI &amp; SANI'!E42+[2]CLASSES!E42+[2]GUERITE!E42</f>
        <v>163</v>
      </c>
    </row>
    <row r="43" spans="2:7" ht="15.75" x14ac:dyDescent="0.25">
      <c r="B43" s="184" t="s">
        <v>606</v>
      </c>
      <c r="C43" s="191" t="str">
        <f>'[1]detail calcul'!B133</f>
        <v xml:space="preserve">f/ Dallette de protection </v>
      </c>
      <c r="D43" s="192" t="str">
        <f>'[1]detail calcul'!C133</f>
        <v>m²</v>
      </c>
      <c r="E43" s="190">
        <f>'[2]ADMI &amp; SANI'!E43+[2]CLASSES!E43+[2]GUERITE!E43</f>
        <v>358.09999999999997</v>
      </c>
    </row>
  </sheetData>
  <mergeCells count="7">
    <mergeCell ref="C6:E6"/>
    <mergeCell ref="B1:E2"/>
    <mergeCell ref="F2:G2"/>
    <mergeCell ref="C3:E4"/>
    <mergeCell ref="F3:G3"/>
    <mergeCell ref="F4:G4"/>
    <mergeCell ref="C5:E5"/>
  </mergeCells>
  <conditionalFormatting sqref="G17:G19">
    <cfRule type="cellIs" dxfId="10" priority="1" operator="equal">
      <formula>"OK"</formula>
    </cfRule>
    <cfRule type="cellIs" dxfId="9" priority="2" operator="equal">
      <formula>"OK"</formula>
    </cfRule>
    <cfRule type="cellIs" dxfId="8" priority="3" operator="equal">
      <formula>"ATTENTION"</formula>
    </cfRule>
    <cfRule type="cellIs" dxfId="7" priority="4" operator="equal">
      <formula>"no"</formula>
    </cfRule>
    <cfRule type="cellIs" dxfId="6" priority="5" operator="equal">
      <formula>"no"</formula>
    </cfRule>
  </conditionalFormatting>
  <conditionalFormatting sqref="G24:G27">
    <cfRule type="cellIs" dxfId="5" priority="8" operator="equal">
      <formula>"ATTENTION"</formula>
    </cfRule>
    <cfRule type="cellIs" dxfId="4" priority="9" operator="equal">
      <formula>"no"</formula>
    </cfRule>
    <cfRule type="cellIs" dxfId="3" priority="10" operator="equal">
      <formula>"no"</formula>
    </cfRule>
  </conditionalFormatting>
  <conditionalFormatting sqref="G26:G27">
    <cfRule type="cellIs" dxfId="2" priority="6" operator="equal">
      <formula>"OK"</formula>
    </cfRule>
    <cfRule type="cellIs" dxfId="1" priority="7" operator="equal">
      <formula>"OK"</formula>
    </cfRule>
  </conditionalFormatting>
  <conditionalFormatting sqref="G30">
    <cfRule type="cellIs" dxfId="0" priority="11" operator="equal">
      <formula>"ATTENTION"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topLeftCell="A19" workbookViewId="0">
      <selection activeCell="F33" sqref="F33"/>
    </sheetView>
  </sheetViews>
  <sheetFormatPr baseColWidth="10" defaultColWidth="11.42578125" defaultRowHeight="12.75" x14ac:dyDescent="0.2"/>
  <cols>
    <col min="3" max="3" width="31.42578125" customWidth="1"/>
    <col min="5" max="5" width="23.28515625" customWidth="1"/>
  </cols>
  <sheetData>
    <row r="1" spans="2:8" ht="15" x14ac:dyDescent="0.25">
      <c r="B1" s="272" t="s">
        <v>558</v>
      </c>
      <c r="C1" s="272"/>
      <c r="D1" s="272"/>
      <c r="E1" s="272"/>
      <c r="F1" s="196"/>
      <c r="G1" s="196"/>
      <c r="H1" s="196"/>
    </row>
    <row r="2" spans="2:8" ht="15" x14ac:dyDescent="0.25">
      <c r="B2" s="272"/>
      <c r="C2" s="272"/>
      <c r="D2" s="272"/>
      <c r="E2" s="272"/>
      <c r="F2" s="273"/>
      <c r="G2" s="273"/>
      <c r="H2" s="196"/>
    </row>
    <row r="3" spans="2:8" ht="15" x14ac:dyDescent="0.25">
      <c r="B3" s="196"/>
      <c r="C3" s="274" t="s">
        <v>617</v>
      </c>
      <c r="D3" s="274"/>
      <c r="E3" s="274"/>
      <c r="F3" s="273"/>
      <c r="G3" s="273"/>
      <c r="H3" s="196"/>
    </row>
    <row r="4" spans="2:8" ht="15" x14ac:dyDescent="0.25">
      <c r="B4" s="197"/>
      <c r="C4" s="274"/>
      <c r="D4" s="274"/>
      <c r="E4" s="274"/>
      <c r="F4" s="273"/>
      <c r="G4" s="273"/>
      <c r="H4" s="196"/>
    </row>
    <row r="5" spans="2:8" ht="15" x14ac:dyDescent="0.25">
      <c r="B5" s="197"/>
      <c r="C5" s="275" t="s">
        <v>618</v>
      </c>
      <c r="D5" s="275"/>
      <c r="E5" s="275"/>
      <c r="F5" s="196"/>
      <c r="G5" s="196"/>
      <c r="H5" s="196"/>
    </row>
    <row r="6" spans="2:8" ht="15" x14ac:dyDescent="0.25">
      <c r="B6" s="196"/>
      <c r="C6" s="271" t="s">
        <v>619</v>
      </c>
      <c r="D6" s="271"/>
      <c r="E6" s="271"/>
      <c r="F6" s="198"/>
      <c r="G6" s="198"/>
      <c r="H6" s="196"/>
    </row>
    <row r="8" spans="2:8" ht="15" x14ac:dyDescent="0.25">
      <c r="B8" s="196"/>
      <c r="C8" s="199" t="s">
        <v>620</v>
      </c>
      <c r="D8" s="200">
        <v>936.18900000000008</v>
      </c>
      <c r="E8" s="201" t="s">
        <v>561</v>
      </c>
      <c r="F8" s="196"/>
      <c r="G8" s="196"/>
      <c r="H8" s="196"/>
    </row>
    <row r="9" spans="2:8" ht="15" x14ac:dyDescent="0.25">
      <c r="B9" s="196"/>
      <c r="C9" s="199" t="s">
        <v>621</v>
      </c>
      <c r="D9" s="202">
        <v>2</v>
      </c>
      <c r="E9" s="203"/>
      <c r="F9" s="196"/>
      <c r="G9" s="196"/>
      <c r="H9" s="196"/>
    </row>
    <row r="10" spans="2:8" ht="15" x14ac:dyDescent="0.25">
      <c r="B10" s="196"/>
      <c r="C10" s="199" t="s">
        <v>562</v>
      </c>
      <c r="D10" s="196">
        <v>936.18900000000008</v>
      </c>
      <c r="E10" s="196">
        <v>1778.7336723674382</v>
      </c>
      <c r="F10" s="196"/>
      <c r="G10" s="196"/>
      <c r="H10" s="196"/>
    </row>
    <row r="11" spans="2:8" ht="15.75" thickBot="1" x14ac:dyDescent="0.3">
      <c r="B11" s="196"/>
      <c r="C11" s="199"/>
      <c r="D11" s="196"/>
      <c r="E11" s="196"/>
      <c r="F11" s="196"/>
      <c r="G11" s="196"/>
      <c r="H11" s="196"/>
    </row>
    <row r="12" spans="2:8" ht="21" thickBot="1" x14ac:dyDescent="0.3">
      <c r="B12" s="204"/>
      <c r="C12" s="205" t="s">
        <v>563</v>
      </c>
      <c r="D12" s="206" t="s">
        <v>564</v>
      </c>
      <c r="E12" s="207" t="s">
        <v>565</v>
      </c>
      <c r="F12" s="196"/>
      <c r="G12" s="196"/>
      <c r="H12" s="196"/>
    </row>
    <row r="13" spans="2:8" ht="21.75" thickBot="1" x14ac:dyDescent="0.3">
      <c r="B13" s="208" t="s">
        <v>75</v>
      </c>
      <c r="C13" s="209" t="s">
        <v>566</v>
      </c>
      <c r="D13" s="210"/>
      <c r="E13" s="211"/>
      <c r="F13" s="196"/>
      <c r="G13" s="196"/>
      <c r="H13" s="196"/>
    </row>
    <row r="14" spans="2:8" ht="16.5" thickBot="1" x14ac:dyDescent="0.3">
      <c r="B14" s="208" t="s">
        <v>567</v>
      </c>
      <c r="C14" s="212" t="s">
        <v>568</v>
      </c>
      <c r="D14" s="213" t="s">
        <v>561</v>
      </c>
      <c r="E14" s="213">
        <v>1098.3670000000002</v>
      </c>
      <c r="F14" s="196"/>
      <c r="G14" s="196"/>
      <c r="H14" s="214"/>
    </row>
    <row r="15" spans="2:8" ht="16.5" thickBot="1" x14ac:dyDescent="0.3">
      <c r="B15" s="208" t="s">
        <v>622</v>
      </c>
      <c r="C15" s="215" t="s">
        <v>572</v>
      </c>
      <c r="D15" s="216" t="s">
        <v>570</v>
      </c>
      <c r="E15" s="213"/>
      <c r="F15" s="196"/>
      <c r="G15" s="196"/>
      <c r="H15" s="214"/>
    </row>
    <row r="16" spans="2:8" ht="16.5" thickBot="1" x14ac:dyDescent="0.3">
      <c r="B16" s="208" t="s">
        <v>569</v>
      </c>
      <c r="C16" s="217" t="s">
        <v>623</v>
      </c>
      <c r="D16" s="218" t="s">
        <v>570</v>
      </c>
      <c r="E16" s="213">
        <v>773.33119999999997</v>
      </c>
      <c r="F16" s="196"/>
      <c r="G16" s="196"/>
      <c r="H16" s="214"/>
    </row>
    <row r="17" spans="2:10" ht="16.5" thickBot="1" x14ac:dyDescent="0.3">
      <c r="B17" s="208" t="s">
        <v>571</v>
      </c>
      <c r="C17" s="217" t="s">
        <v>572</v>
      </c>
      <c r="D17" s="218" t="s">
        <v>570</v>
      </c>
      <c r="E17" s="213">
        <v>0</v>
      </c>
      <c r="F17" s="196"/>
      <c r="G17" s="196"/>
      <c r="H17" s="214"/>
      <c r="I17" s="196"/>
      <c r="J17" s="196"/>
    </row>
    <row r="18" spans="2:10" ht="16.5" thickBot="1" x14ac:dyDescent="0.3">
      <c r="B18" s="208" t="s">
        <v>573</v>
      </c>
      <c r="C18" s="217" t="s">
        <v>624</v>
      </c>
      <c r="D18" s="218" t="s">
        <v>570</v>
      </c>
      <c r="E18" s="213">
        <v>773.33119999999997</v>
      </c>
      <c r="F18" s="196"/>
      <c r="G18" s="219"/>
      <c r="H18" s="214"/>
      <c r="I18" s="196"/>
      <c r="J18" s="196"/>
    </row>
    <row r="19" spans="2:10" ht="27" thickBot="1" x14ac:dyDescent="0.45">
      <c r="B19" s="208"/>
      <c r="C19" s="209" t="s">
        <v>574</v>
      </c>
      <c r="D19" s="218"/>
      <c r="E19" s="213"/>
      <c r="F19" s="196"/>
      <c r="G19" s="219"/>
      <c r="H19" s="196"/>
      <c r="I19" s="196"/>
      <c r="J19" s="220"/>
    </row>
    <row r="20" spans="2:10" ht="16.5" thickBot="1" x14ac:dyDescent="0.3">
      <c r="B20" s="208" t="s">
        <v>575</v>
      </c>
      <c r="C20" s="217" t="s">
        <v>6</v>
      </c>
      <c r="D20" s="218" t="s">
        <v>570</v>
      </c>
      <c r="E20" s="213">
        <v>56.585500000000003</v>
      </c>
      <c r="F20" s="196"/>
      <c r="G20" s="219"/>
      <c r="H20" s="214"/>
      <c r="I20" s="196"/>
      <c r="J20" s="196"/>
    </row>
    <row r="21" spans="2:10" ht="16.5" thickBot="1" x14ac:dyDescent="0.3">
      <c r="B21" s="208" t="s">
        <v>576</v>
      </c>
      <c r="C21" s="217" t="s">
        <v>625</v>
      </c>
      <c r="D21" s="218" t="s">
        <v>570</v>
      </c>
      <c r="E21" s="213">
        <v>27.646125000000005</v>
      </c>
      <c r="F21" s="196"/>
      <c r="G21" s="196"/>
      <c r="H21" s="214"/>
      <c r="I21" s="196"/>
      <c r="J21" s="196"/>
    </row>
    <row r="22" spans="2:10" ht="16.5" thickBot="1" x14ac:dyDescent="0.3">
      <c r="B22" s="208" t="s">
        <v>577</v>
      </c>
      <c r="C22" s="217" t="s">
        <v>578</v>
      </c>
      <c r="D22" s="218" t="s">
        <v>570</v>
      </c>
      <c r="E22" s="213">
        <v>72.606375</v>
      </c>
      <c r="F22" s="196"/>
      <c r="G22" s="196"/>
      <c r="H22" s="214"/>
      <c r="I22" s="196"/>
      <c r="J22" s="196"/>
    </row>
    <row r="23" spans="2:10" ht="16.5" thickBot="1" x14ac:dyDescent="0.3">
      <c r="B23" s="208" t="s">
        <v>579</v>
      </c>
      <c r="C23" s="217" t="s">
        <v>580</v>
      </c>
      <c r="D23" s="218" t="s">
        <v>561</v>
      </c>
      <c r="E23" s="213">
        <v>225.88650000000004</v>
      </c>
      <c r="F23" s="196"/>
      <c r="G23" s="196"/>
      <c r="H23" s="214"/>
      <c r="I23" s="196"/>
      <c r="J23" s="196"/>
    </row>
    <row r="24" spans="2:10" ht="16.5" thickBot="1" x14ac:dyDescent="0.3">
      <c r="B24" s="208" t="s">
        <v>581</v>
      </c>
      <c r="C24" s="217" t="s">
        <v>582</v>
      </c>
      <c r="D24" s="218" t="s">
        <v>561</v>
      </c>
      <c r="E24" s="213">
        <v>3.36</v>
      </c>
      <c r="F24" s="196"/>
      <c r="G24" s="196"/>
      <c r="H24" s="214"/>
      <c r="I24" s="196"/>
      <c r="J24" s="196"/>
    </row>
    <row r="25" spans="2:10" ht="16.5" thickBot="1" x14ac:dyDescent="0.3">
      <c r="B25" s="208" t="s">
        <v>583</v>
      </c>
      <c r="C25" s="217" t="s">
        <v>626</v>
      </c>
      <c r="D25" s="218" t="s">
        <v>570</v>
      </c>
      <c r="E25" s="213">
        <v>194.04462499999997</v>
      </c>
      <c r="F25" s="196"/>
      <c r="G25" s="219"/>
      <c r="H25" s="214"/>
      <c r="I25" s="196"/>
      <c r="J25" s="196"/>
    </row>
    <row r="26" spans="2:10" ht="16.5" thickBot="1" x14ac:dyDescent="0.3">
      <c r="B26" s="208" t="s">
        <v>584</v>
      </c>
      <c r="C26" s="217" t="s">
        <v>627</v>
      </c>
      <c r="D26" s="218" t="s">
        <v>79</v>
      </c>
      <c r="E26" s="213">
        <v>21344.908749999995</v>
      </c>
      <c r="F26" s="196"/>
      <c r="G26" s="219"/>
      <c r="H26" s="214"/>
      <c r="I26" s="196"/>
      <c r="J26" s="196"/>
    </row>
    <row r="27" spans="2:10" ht="16.5" thickBot="1" x14ac:dyDescent="0.3">
      <c r="B27" s="208" t="s">
        <v>585</v>
      </c>
      <c r="C27" s="217" t="s">
        <v>628</v>
      </c>
      <c r="D27" s="218" t="s">
        <v>586</v>
      </c>
      <c r="E27" s="213">
        <v>1083.4979999999998</v>
      </c>
      <c r="F27" s="196"/>
      <c r="G27" s="219"/>
      <c r="H27" s="214"/>
      <c r="I27" s="196"/>
      <c r="J27" s="196"/>
    </row>
    <row r="28" spans="2:10" ht="16.5" thickBot="1" x14ac:dyDescent="0.3">
      <c r="B28" s="208" t="s">
        <v>587</v>
      </c>
      <c r="C28" s="217" t="s">
        <v>588</v>
      </c>
      <c r="D28" s="218" t="s">
        <v>586</v>
      </c>
      <c r="E28" s="213">
        <v>374.72</v>
      </c>
      <c r="F28" s="196"/>
      <c r="G28" s="219"/>
      <c r="H28" s="214"/>
      <c r="I28" s="196"/>
      <c r="J28" s="196"/>
    </row>
    <row r="29" spans="2:10" ht="16.5" thickBot="1" x14ac:dyDescent="0.3">
      <c r="B29" s="208" t="s">
        <v>589</v>
      </c>
      <c r="C29" s="217" t="s">
        <v>590</v>
      </c>
      <c r="D29" s="218" t="s">
        <v>586</v>
      </c>
      <c r="E29" s="213">
        <v>1458.2179999999998</v>
      </c>
      <c r="F29" s="196"/>
      <c r="G29" s="196"/>
      <c r="H29" s="214"/>
      <c r="I29" s="196"/>
      <c r="J29" s="196"/>
    </row>
    <row r="30" spans="2:10" ht="27" thickBot="1" x14ac:dyDescent="0.45">
      <c r="B30" s="208"/>
      <c r="C30" s="209" t="s">
        <v>574</v>
      </c>
      <c r="D30" s="218"/>
      <c r="E30" s="213"/>
      <c r="F30" s="196"/>
      <c r="G30" s="196"/>
      <c r="H30" s="196"/>
      <c r="I30" s="196"/>
      <c r="J30" s="220"/>
    </row>
    <row r="31" spans="2:10" ht="16.5" thickBot="1" x14ac:dyDescent="0.3">
      <c r="B31" s="208" t="s">
        <v>591</v>
      </c>
      <c r="C31" s="217" t="s">
        <v>629</v>
      </c>
      <c r="D31" s="218" t="s">
        <v>570</v>
      </c>
      <c r="E31" s="213">
        <v>221.43215000000001</v>
      </c>
      <c r="F31" s="196"/>
      <c r="G31" s="221"/>
      <c r="H31" s="214"/>
      <c r="I31" s="196"/>
      <c r="J31" s="196"/>
    </row>
    <row r="32" spans="2:10" ht="16.5" thickBot="1" x14ac:dyDescent="0.3">
      <c r="B32" s="208" t="s">
        <v>592</v>
      </c>
      <c r="C32" s="217" t="s">
        <v>630</v>
      </c>
      <c r="D32" s="218" t="s">
        <v>79</v>
      </c>
      <c r="E32" s="213">
        <v>32107.661749999999</v>
      </c>
      <c r="F32" s="196">
        <f>E32/E31</f>
        <v>145</v>
      </c>
      <c r="G32" s="196"/>
      <c r="H32" s="214"/>
      <c r="I32" s="196"/>
      <c r="J32" s="196"/>
    </row>
    <row r="33" spans="2:10" ht="16.5" thickBot="1" x14ac:dyDescent="0.3">
      <c r="B33" s="208" t="s">
        <v>593</v>
      </c>
      <c r="C33" s="217" t="s">
        <v>594</v>
      </c>
      <c r="D33" s="218" t="s">
        <v>376</v>
      </c>
      <c r="E33" s="213">
        <v>25.6</v>
      </c>
      <c r="F33" s="196"/>
      <c r="G33" s="196"/>
      <c r="H33" s="214"/>
      <c r="I33" s="196"/>
      <c r="J33" s="196"/>
    </row>
    <row r="34" spans="2:10" ht="16.5" thickBot="1" x14ac:dyDescent="0.3">
      <c r="B34" s="208" t="s">
        <v>595</v>
      </c>
      <c r="C34" s="217" t="s">
        <v>596</v>
      </c>
      <c r="D34" s="218" t="s">
        <v>376</v>
      </c>
      <c r="E34" s="213">
        <v>22.46</v>
      </c>
      <c r="F34" s="196"/>
      <c r="G34" s="196"/>
      <c r="H34" s="214"/>
      <c r="I34" s="196"/>
      <c r="J34" s="196"/>
    </row>
    <row r="35" spans="2:10" ht="27" thickBot="1" x14ac:dyDescent="0.45">
      <c r="B35" s="208"/>
      <c r="C35" s="209" t="s">
        <v>631</v>
      </c>
      <c r="D35" s="218"/>
      <c r="E35" s="213"/>
      <c r="F35" s="196"/>
      <c r="G35" s="196"/>
      <c r="H35" s="196"/>
      <c r="I35" s="196"/>
      <c r="J35" s="220"/>
    </row>
    <row r="36" spans="2:10" ht="16.5" thickBot="1" x14ac:dyDescent="0.3">
      <c r="B36" s="208" t="s">
        <v>595</v>
      </c>
      <c r="C36" s="217" t="s">
        <v>632</v>
      </c>
      <c r="D36" s="218" t="s">
        <v>586</v>
      </c>
      <c r="E36" s="213">
        <v>370.24799999999999</v>
      </c>
      <c r="F36" s="196"/>
      <c r="G36" s="196"/>
      <c r="H36" s="214"/>
      <c r="I36" s="196"/>
      <c r="J36" s="196"/>
    </row>
    <row r="37" spans="2:10" ht="16.5" thickBot="1" x14ac:dyDescent="0.3">
      <c r="B37" s="208" t="s">
        <v>633</v>
      </c>
      <c r="C37" s="217" t="s">
        <v>634</v>
      </c>
      <c r="D37" s="218" t="s">
        <v>586</v>
      </c>
      <c r="E37" s="213">
        <v>167.58</v>
      </c>
      <c r="F37" s="196"/>
      <c r="G37" s="196"/>
      <c r="H37" s="214"/>
      <c r="I37" s="196"/>
      <c r="J37" s="196"/>
    </row>
    <row r="38" spans="2:10" ht="16.5" thickBot="1" x14ac:dyDescent="0.3">
      <c r="B38" s="208" t="s">
        <v>597</v>
      </c>
      <c r="C38" s="217" t="s">
        <v>598</v>
      </c>
      <c r="D38" s="218" t="s">
        <v>586</v>
      </c>
      <c r="E38" s="213">
        <v>599.76</v>
      </c>
      <c r="F38" s="196"/>
      <c r="G38" s="222"/>
      <c r="H38" s="214"/>
      <c r="I38" s="196"/>
      <c r="J38" s="196"/>
    </row>
    <row r="39" spans="2:10" ht="27" thickBot="1" x14ac:dyDescent="0.45">
      <c r="B39" s="208"/>
      <c r="C39" s="209" t="s">
        <v>599</v>
      </c>
      <c r="D39" s="204"/>
      <c r="E39" s="213"/>
      <c r="F39" s="196"/>
      <c r="G39" s="196"/>
      <c r="H39" s="196"/>
      <c r="I39" s="196"/>
      <c r="J39" s="220"/>
    </row>
    <row r="40" spans="2:10" ht="16.5" thickBot="1" x14ac:dyDescent="0.3">
      <c r="B40" s="208" t="s">
        <v>600</v>
      </c>
      <c r="C40" s="217" t="s">
        <v>635</v>
      </c>
      <c r="D40" s="218" t="s">
        <v>586</v>
      </c>
      <c r="E40" s="213">
        <v>683.61500000000001</v>
      </c>
      <c r="F40" s="196"/>
      <c r="G40" s="196"/>
      <c r="H40" s="214"/>
      <c r="I40" s="196"/>
      <c r="J40" s="196"/>
    </row>
    <row r="41" spans="2:10" ht="16.5" thickBot="1" x14ac:dyDescent="0.3">
      <c r="B41" s="208" t="s">
        <v>601</v>
      </c>
      <c r="C41" s="217" t="s">
        <v>636</v>
      </c>
      <c r="D41" s="218" t="s">
        <v>586</v>
      </c>
      <c r="E41" s="213">
        <v>683.61500000000001</v>
      </c>
      <c r="F41" s="196"/>
      <c r="G41" s="196"/>
      <c r="H41" s="214"/>
      <c r="I41" s="196"/>
      <c r="J41" s="196"/>
    </row>
    <row r="42" spans="2:10" ht="16.5" thickBot="1" x14ac:dyDescent="0.3">
      <c r="B42" s="208" t="s">
        <v>602</v>
      </c>
      <c r="C42" s="217" t="s">
        <v>637</v>
      </c>
      <c r="D42" s="218" t="s">
        <v>586</v>
      </c>
      <c r="E42" s="213">
        <v>683.61500000000001</v>
      </c>
      <c r="F42" s="196"/>
      <c r="G42" s="196"/>
      <c r="H42" s="214"/>
      <c r="I42" s="196"/>
      <c r="J42" s="196"/>
    </row>
    <row r="43" spans="2:10" ht="16.5" thickBot="1" x14ac:dyDescent="0.3">
      <c r="B43" s="208" t="s">
        <v>603</v>
      </c>
      <c r="C43" s="217" t="s">
        <v>638</v>
      </c>
      <c r="D43" s="218" t="s">
        <v>376</v>
      </c>
      <c r="E43" s="213">
        <v>262.27000000000004</v>
      </c>
      <c r="F43" s="196"/>
      <c r="G43" s="196"/>
      <c r="H43" s="214"/>
      <c r="I43" s="196"/>
      <c r="J43" s="196"/>
    </row>
    <row r="44" spans="2:10" ht="16.5" thickBot="1" x14ac:dyDescent="0.3">
      <c r="B44" s="208" t="s">
        <v>604</v>
      </c>
      <c r="C44" s="217" t="s">
        <v>605</v>
      </c>
      <c r="D44" s="218" t="s">
        <v>376</v>
      </c>
      <c r="E44" s="213">
        <v>262.27000000000004</v>
      </c>
      <c r="F44" s="196"/>
      <c r="G44" s="196"/>
      <c r="H44" s="214"/>
      <c r="I44" s="196"/>
      <c r="J44" s="196"/>
    </row>
    <row r="45" spans="2:10" ht="16.5" thickBot="1" x14ac:dyDescent="0.3">
      <c r="B45" s="208" t="s">
        <v>606</v>
      </c>
      <c r="C45" s="217" t="s">
        <v>639</v>
      </c>
      <c r="D45" s="218" t="s">
        <v>586</v>
      </c>
      <c r="E45" s="213">
        <v>683.61500000000001</v>
      </c>
      <c r="F45" s="196"/>
      <c r="G45" s="196"/>
      <c r="H45" s="214"/>
      <c r="I45" s="196"/>
      <c r="J45" s="196"/>
    </row>
    <row r="46" spans="2:10" ht="27" thickBot="1" x14ac:dyDescent="0.45">
      <c r="B46" s="208" t="s">
        <v>640</v>
      </c>
      <c r="C46" s="223"/>
      <c r="D46" s="224"/>
      <c r="E46" s="213"/>
      <c r="F46" s="196"/>
      <c r="G46" s="196"/>
      <c r="H46" s="196"/>
      <c r="I46" s="196"/>
      <c r="J46" s="220"/>
    </row>
    <row r="47" spans="2:10" ht="16.5" thickBot="1" x14ac:dyDescent="0.3">
      <c r="B47" s="208" t="s">
        <v>641</v>
      </c>
      <c r="C47" s="225" t="s">
        <v>642</v>
      </c>
      <c r="D47" s="226" t="s">
        <v>561</v>
      </c>
      <c r="E47" s="213">
        <v>0</v>
      </c>
      <c r="F47" s="196"/>
      <c r="G47" s="196"/>
      <c r="H47" s="196"/>
      <c r="I47" s="196"/>
      <c r="J47" s="196"/>
    </row>
  </sheetData>
  <mergeCells count="7">
    <mergeCell ref="C6:E6"/>
    <mergeCell ref="B1:E2"/>
    <mergeCell ref="F2:G2"/>
    <mergeCell ref="C3:E4"/>
    <mergeCell ref="F3:G3"/>
    <mergeCell ref="F4:G4"/>
    <mergeCell ref="C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228"/>
  <sheetViews>
    <sheetView tabSelected="1" view="pageBreakPreview" topLeftCell="A211" zoomScale="130" zoomScaleNormal="100" zoomScaleSheetLayoutView="130" workbookViewId="0">
      <selection activeCell="G9" sqref="G9"/>
    </sheetView>
  </sheetViews>
  <sheetFormatPr baseColWidth="10" defaultColWidth="9" defaultRowHeight="14.25" x14ac:dyDescent="0.2"/>
  <cols>
    <col min="1" max="1" width="7.42578125" style="4" customWidth="1"/>
    <col min="2" max="2" width="50.85546875" style="5" customWidth="1"/>
    <col min="3" max="3" width="3.42578125" style="6" customWidth="1"/>
    <col min="4" max="4" width="9.28515625" style="12" customWidth="1"/>
    <col min="5" max="5" width="8.5703125" style="7" customWidth="1"/>
    <col min="6" max="6" width="13.28515625" style="79" customWidth="1"/>
    <col min="7" max="7" width="13.7109375" style="5" customWidth="1"/>
    <col min="8" max="8" width="18.140625" style="5" customWidth="1"/>
    <col min="9" max="256" width="11.42578125" style="5" customWidth="1"/>
    <col min="257" max="16384" width="9" style="80"/>
  </cols>
  <sheetData>
    <row r="3" spans="1:8" x14ac:dyDescent="0.2">
      <c r="A3" s="266"/>
      <c r="B3" s="266"/>
      <c r="C3" s="266"/>
      <c r="D3" s="266"/>
      <c r="E3" s="266"/>
      <c r="F3" s="266"/>
    </row>
    <row r="4" spans="1:8" x14ac:dyDescent="0.2">
      <c r="A4" s="228"/>
      <c r="B4" s="228"/>
      <c r="C4" s="228"/>
      <c r="D4" s="228"/>
      <c r="E4" s="228"/>
      <c r="F4" s="228"/>
    </row>
    <row r="5" spans="1:8" ht="10.5" customHeight="1" x14ac:dyDescent="0.2">
      <c r="A5" s="228"/>
      <c r="B5" s="228"/>
      <c r="C5" s="228"/>
      <c r="D5" s="228"/>
      <c r="E5" s="228"/>
      <c r="F5" s="228"/>
    </row>
    <row r="6" spans="1:8" x14ac:dyDescent="0.2">
      <c r="A6" s="266" t="s">
        <v>668</v>
      </c>
      <c r="B6" s="266"/>
      <c r="C6" s="266"/>
      <c r="D6" s="266"/>
      <c r="E6" s="266"/>
      <c r="F6" s="266"/>
    </row>
    <row r="7" spans="1:8" x14ac:dyDescent="0.2">
      <c r="A7" s="266" t="s">
        <v>682</v>
      </c>
      <c r="B7" s="266"/>
      <c r="C7" s="266"/>
      <c r="D7" s="266"/>
      <c r="E7" s="266"/>
      <c r="F7" s="266"/>
    </row>
    <row r="8" spans="1:8" ht="28.15" customHeight="1" x14ac:dyDescent="0.2">
      <c r="A8" s="276" t="s">
        <v>681</v>
      </c>
      <c r="B8" s="276"/>
      <c r="C8" s="276"/>
      <c r="D8" s="276"/>
      <c r="E8" s="276"/>
      <c r="F8" s="276"/>
    </row>
    <row r="9" spans="1:8" ht="17.45" customHeight="1" thickBot="1" x14ac:dyDescent="0.25">
      <c r="A9" s="277" t="s">
        <v>669</v>
      </c>
      <c r="B9" s="277"/>
      <c r="C9" s="277"/>
      <c r="D9" s="277"/>
      <c r="E9" s="277"/>
      <c r="F9" s="277"/>
      <c r="G9" s="81"/>
    </row>
    <row r="10" spans="1:8" s="3" customFormat="1" ht="32.25" customHeight="1" thickBot="1" x14ac:dyDescent="0.25">
      <c r="A10" s="229" t="s">
        <v>75</v>
      </c>
      <c r="B10" s="230" t="s">
        <v>2</v>
      </c>
      <c r="C10" s="230" t="s">
        <v>3</v>
      </c>
      <c r="D10" s="231" t="s">
        <v>645</v>
      </c>
      <c r="E10" s="232" t="s">
        <v>647</v>
      </c>
      <c r="F10" s="233" t="s">
        <v>648</v>
      </c>
    </row>
    <row r="11" spans="1:8" ht="18" customHeight="1" x14ac:dyDescent="0.2">
      <c r="A11" s="30"/>
      <c r="B11" s="31" t="s">
        <v>140</v>
      </c>
      <c r="C11" s="32"/>
      <c r="D11" s="33"/>
      <c r="E11" s="34"/>
      <c r="F11" s="35"/>
    </row>
    <row r="12" spans="1:8" ht="18" customHeight="1" x14ac:dyDescent="0.2">
      <c r="A12" s="30"/>
      <c r="B12" s="31" t="s">
        <v>661</v>
      </c>
      <c r="C12" s="32"/>
      <c r="D12" s="33"/>
      <c r="E12" s="34"/>
      <c r="F12" s="35"/>
      <c r="G12" s="13"/>
    </row>
    <row r="13" spans="1:8" ht="16.5" customHeight="1" x14ac:dyDescent="0.2">
      <c r="A13" s="30" t="s">
        <v>142</v>
      </c>
      <c r="B13" s="36" t="s">
        <v>664</v>
      </c>
      <c r="C13" s="32"/>
      <c r="D13" s="33"/>
      <c r="E13" s="34"/>
      <c r="F13" s="35"/>
      <c r="G13" s="13"/>
    </row>
    <row r="14" spans="1:8" ht="16.5" customHeight="1" x14ac:dyDescent="0.2">
      <c r="A14" s="30"/>
      <c r="B14" s="36" t="s">
        <v>662</v>
      </c>
      <c r="C14" s="32" t="s">
        <v>4</v>
      </c>
      <c r="D14" s="37">
        <v>42</v>
      </c>
      <c r="E14" s="34">
        <v>50</v>
      </c>
      <c r="F14" s="35">
        <f>+E14*D14</f>
        <v>2100</v>
      </c>
      <c r="G14" s="13"/>
    </row>
    <row r="15" spans="1:8" ht="16.5" customHeight="1" x14ac:dyDescent="0.2">
      <c r="A15" s="30"/>
      <c r="B15" s="36" t="s">
        <v>663</v>
      </c>
      <c r="C15" s="32" t="s">
        <v>4</v>
      </c>
      <c r="D15" s="37">
        <v>140</v>
      </c>
      <c r="E15" s="34">
        <v>30</v>
      </c>
      <c r="F15" s="35">
        <f>+E15*D15</f>
        <v>4200</v>
      </c>
      <c r="G15" s="13"/>
    </row>
    <row r="16" spans="1:8" s="5" customFormat="1" ht="18" customHeight="1" x14ac:dyDescent="0.2">
      <c r="A16" s="30" t="s">
        <v>143</v>
      </c>
      <c r="B16" s="36" t="s">
        <v>349</v>
      </c>
      <c r="C16" s="32" t="s">
        <v>4</v>
      </c>
      <c r="D16" s="37">
        <v>372</v>
      </c>
      <c r="E16" s="34">
        <v>10</v>
      </c>
      <c r="F16" s="35">
        <f t="shared" ref="F16:F20" si="0">+E16*D16</f>
        <v>3720</v>
      </c>
      <c r="H16" s="82"/>
    </row>
    <row r="17" spans="1:8" s="5" customFormat="1" ht="24" customHeight="1" x14ac:dyDescent="0.2">
      <c r="A17" s="30" t="s">
        <v>144</v>
      </c>
      <c r="B17" s="36" t="s">
        <v>312</v>
      </c>
      <c r="C17" s="32" t="s">
        <v>5</v>
      </c>
      <c r="D17" s="37">
        <v>120</v>
      </c>
      <c r="E17" s="34">
        <v>45</v>
      </c>
      <c r="F17" s="35">
        <f t="shared" si="0"/>
        <v>5400</v>
      </c>
      <c r="H17" s="82"/>
    </row>
    <row r="18" spans="1:8" s="5" customFormat="1" ht="23.25" customHeight="1" x14ac:dyDescent="0.2">
      <c r="A18" s="30" t="s">
        <v>145</v>
      </c>
      <c r="B18" s="36" t="s">
        <v>254</v>
      </c>
      <c r="C18" s="32" t="s">
        <v>5</v>
      </c>
      <c r="D18" s="37">
        <v>260</v>
      </c>
      <c r="E18" s="34">
        <v>50</v>
      </c>
      <c r="F18" s="35">
        <f t="shared" si="0"/>
        <v>13000</v>
      </c>
      <c r="H18" s="82"/>
    </row>
    <row r="19" spans="1:8" s="5" customFormat="1" ht="18" customHeight="1" x14ac:dyDescent="0.2">
      <c r="A19" s="30" t="s">
        <v>351</v>
      </c>
      <c r="B19" s="36" t="s">
        <v>435</v>
      </c>
      <c r="C19" s="32" t="s">
        <v>5</v>
      </c>
      <c r="D19" s="37">
        <v>380</v>
      </c>
      <c r="E19" s="34">
        <v>40</v>
      </c>
      <c r="F19" s="35">
        <f t="shared" si="0"/>
        <v>15200</v>
      </c>
      <c r="H19" s="82"/>
    </row>
    <row r="20" spans="1:8" s="5" customFormat="1" ht="16.5" customHeight="1" x14ac:dyDescent="0.2">
      <c r="A20" s="30" t="s">
        <v>665</v>
      </c>
      <c r="B20" s="36" t="s">
        <v>350</v>
      </c>
      <c r="C20" s="32" t="s">
        <v>5</v>
      </c>
      <c r="D20" s="37">
        <v>40</v>
      </c>
      <c r="E20" s="34">
        <v>80</v>
      </c>
      <c r="F20" s="35">
        <f t="shared" si="0"/>
        <v>3200</v>
      </c>
      <c r="H20" s="82"/>
    </row>
    <row r="21" spans="1:8" ht="18" customHeight="1" x14ac:dyDescent="0.2">
      <c r="A21" s="241" t="s">
        <v>96</v>
      </c>
      <c r="B21" s="242"/>
      <c r="C21" s="242"/>
      <c r="D21" s="242"/>
      <c r="E21" s="243"/>
      <c r="F21" s="38">
        <f>SUM(F11:F20)</f>
        <v>46820</v>
      </c>
      <c r="H21" s="82"/>
    </row>
    <row r="22" spans="1:8" ht="17.25" customHeight="1" x14ac:dyDescent="0.2">
      <c r="A22" s="24"/>
      <c r="B22" s="25" t="s">
        <v>146</v>
      </c>
      <c r="C22" s="26"/>
      <c r="D22" s="27"/>
      <c r="E22" s="28"/>
      <c r="F22" s="29"/>
      <c r="H22" s="82"/>
    </row>
    <row r="23" spans="1:8" ht="15" customHeight="1" x14ac:dyDescent="0.2">
      <c r="A23" s="30" t="s">
        <v>147</v>
      </c>
      <c r="B23" s="39" t="s">
        <v>6</v>
      </c>
      <c r="C23" s="32" t="s">
        <v>5</v>
      </c>
      <c r="D23" s="37">
        <v>25</v>
      </c>
      <c r="E23" s="34">
        <v>450</v>
      </c>
      <c r="F23" s="35">
        <f>+E23*D23</f>
        <v>11250</v>
      </c>
      <c r="H23" s="82"/>
    </row>
    <row r="24" spans="1:8" ht="15" customHeight="1" x14ac:dyDescent="0.2">
      <c r="A24" s="30" t="s">
        <v>148</v>
      </c>
      <c r="B24" s="39" t="s">
        <v>77</v>
      </c>
      <c r="C24" s="32" t="s">
        <v>5</v>
      </c>
      <c r="D24" s="37">
        <v>10</v>
      </c>
      <c r="E24" s="34">
        <v>500</v>
      </c>
      <c r="F24" s="35">
        <f t="shared" ref="F24:F25" si="1">+E24*D24</f>
        <v>5000</v>
      </c>
      <c r="H24" s="82"/>
    </row>
    <row r="25" spans="1:8" ht="15" customHeight="1" x14ac:dyDescent="0.2">
      <c r="A25" s="30" t="s">
        <v>149</v>
      </c>
      <c r="B25" s="39" t="s">
        <v>35</v>
      </c>
      <c r="C25" s="32" t="s">
        <v>5</v>
      </c>
      <c r="D25" s="37">
        <v>90</v>
      </c>
      <c r="E25" s="34">
        <v>220</v>
      </c>
      <c r="F25" s="35">
        <f t="shared" si="1"/>
        <v>19800</v>
      </c>
      <c r="H25" s="82"/>
    </row>
    <row r="26" spans="1:8" ht="15" customHeight="1" x14ac:dyDescent="0.2">
      <c r="A26" s="30" t="s">
        <v>150</v>
      </c>
      <c r="B26" s="39" t="s">
        <v>78</v>
      </c>
      <c r="C26" s="32" t="s">
        <v>4</v>
      </c>
      <c r="D26" s="37">
        <v>140</v>
      </c>
      <c r="E26" s="34">
        <v>50</v>
      </c>
      <c r="F26" s="35">
        <f>+E26*D26</f>
        <v>7000</v>
      </c>
      <c r="H26" s="82"/>
    </row>
    <row r="27" spans="1:8" ht="18" customHeight="1" x14ac:dyDescent="0.2">
      <c r="A27" s="241" t="s">
        <v>97</v>
      </c>
      <c r="B27" s="242"/>
      <c r="C27" s="242"/>
      <c r="D27" s="242"/>
      <c r="E27" s="243"/>
      <c r="F27" s="38">
        <f>SUM(F22:F26)</f>
        <v>43050</v>
      </c>
      <c r="H27" s="82"/>
    </row>
    <row r="28" spans="1:8" ht="18" customHeight="1" x14ac:dyDescent="0.2">
      <c r="A28" s="24"/>
      <c r="B28" s="25" t="s">
        <v>151</v>
      </c>
      <c r="C28" s="26"/>
      <c r="D28" s="27"/>
      <c r="E28" s="28"/>
      <c r="F28" s="29"/>
      <c r="H28" s="82"/>
    </row>
    <row r="29" spans="1:8" ht="17.100000000000001" customHeight="1" x14ac:dyDescent="0.2">
      <c r="A29" s="30" t="s">
        <v>152</v>
      </c>
      <c r="B29" s="39" t="s">
        <v>255</v>
      </c>
      <c r="C29" s="32" t="s">
        <v>4</v>
      </c>
      <c r="D29" s="37">
        <v>375</v>
      </c>
      <c r="E29" s="34">
        <v>30</v>
      </c>
      <c r="F29" s="35">
        <f t="shared" ref="F29:F31" si="2">+E29*D29</f>
        <v>11250</v>
      </c>
      <c r="H29" s="82"/>
    </row>
    <row r="30" spans="1:8" ht="17.100000000000001" customHeight="1" x14ac:dyDescent="0.2">
      <c r="A30" s="30" t="s">
        <v>153</v>
      </c>
      <c r="B30" s="39" t="s">
        <v>288</v>
      </c>
      <c r="C30" s="32" t="s">
        <v>4</v>
      </c>
      <c r="D30" s="37">
        <v>375</v>
      </c>
      <c r="E30" s="34">
        <v>140</v>
      </c>
      <c r="F30" s="35">
        <f t="shared" si="2"/>
        <v>52500</v>
      </c>
      <c r="H30" s="82"/>
    </row>
    <row r="31" spans="1:8" ht="17.100000000000001" customHeight="1" x14ac:dyDescent="0.2">
      <c r="A31" s="30" t="s">
        <v>154</v>
      </c>
      <c r="B31" s="39" t="s">
        <v>80</v>
      </c>
      <c r="C31" s="32" t="s">
        <v>4</v>
      </c>
      <c r="D31" s="37">
        <v>45</v>
      </c>
      <c r="E31" s="34">
        <v>50</v>
      </c>
      <c r="F31" s="35">
        <f t="shared" si="2"/>
        <v>2250</v>
      </c>
      <c r="H31" s="82"/>
    </row>
    <row r="32" spans="1:8" s="5" customFormat="1" ht="16.5" customHeight="1" x14ac:dyDescent="0.2">
      <c r="A32" s="241" t="s">
        <v>98</v>
      </c>
      <c r="B32" s="242"/>
      <c r="C32" s="242"/>
      <c r="D32" s="242"/>
      <c r="E32" s="243"/>
      <c r="F32" s="38">
        <f>SUM(F28:F31)</f>
        <v>66000</v>
      </c>
      <c r="H32" s="82"/>
    </row>
    <row r="33" spans="1:8" ht="18" customHeight="1" x14ac:dyDescent="0.2">
      <c r="A33" s="24"/>
      <c r="B33" s="25" t="s">
        <v>155</v>
      </c>
      <c r="C33" s="26"/>
      <c r="D33" s="27"/>
      <c r="E33" s="28"/>
      <c r="F33" s="35"/>
      <c r="H33" s="82"/>
    </row>
    <row r="34" spans="1:8" ht="17.100000000000001" customHeight="1" x14ac:dyDescent="0.2">
      <c r="A34" s="30" t="s">
        <v>156</v>
      </c>
      <c r="B34" s="39" t="s">
        <v>256</v>
      </c>
      <c r="C34" s="32" t="s">
        <v>5</v>
      </c>
      <c r="D34" s="37">
        <v>80</v>
      </c>
      <c r="E34" s="34">
        <v>1050</v>
      </c>
      <c r="F34" s="35">
        <f t="shared" ref="F34:F35" si="3">+E34*D34</f>
        <v>84000</v>
      </c>
      <c r="H34" s="82"/>
    </row>
    <row r="35" spans="1:8" ht="17.100000000000001" customHeight="1" x14ac:dyDescent="0.2">
      <c r="A35" s="30" t="s">
        <v>157</v>
      </c>
      <c r="B35" s="39" t="s">
        <v>257</v>
      </c>
      <c r="C35" s="32" t="s">
        <v>79</v>
      </c>
      <c r="D35" s="37">
        <v>8800</v>
      </c>
      <c r="E35" s="34">
        <v>12</v>
      </c>
      <c r="F35" s="35">
        <f t="shared" si="3"/>
        <v>105600</v>
      </c>
      <c r="H35" s="82"/>
    </row>
    <row r="36" spans="1:8" ht="18" customHeight="1" x14ac:dyDescent="0.2">
      <c r="A36" s="241" t="s">
        <v>99</v>
      </c>
      <c r="B36" s="242"/>
      <c r="C36" s="242"/>
      <c r="D36" s="242"/>
      <c r="E36" s="243"/>
      <c r="F36" s="38">
        <f>SUM(F33:F35)</f>
        <v>189600</v>
      </c>
      <c r="H36" s="82"/>
    </row>
    <row r="37" spans="1:8" ht="18" customHeight="1" x14ac:dyDescent="0.2">
      <c r="A37" s="24"/>
      <c r="B37" s="25" t="s">
        <v>258</v>
      </c>
      <c r="C37" s="26"/>
      <c r="D37" s="27"/>
      <c r="E37" s="28"/>
      <c r="F37" s="35"/>
      <c r="H37" s="82"/>
    </row>
    <row r="38" spans="1:8" ht="15.95" customHeight="1" x14ac:dyDescent="0.2">
      <c r="A38" s="40" t="s">
        <v>158</v>
      </c>
      <c r="B38" s="36" t="s">
        <v>324</v>
      </c>
      <c r="C38" s="41"/>
      <c r="D38" s="42"/>
      <c r="E38" s="43"/>
      <c r="F38" s="35"/>
      <c r="H38" s="82"/>
    </row>
    <row r="39" spans="1:8" ht="15.95" customHeight="1" x14ac:dyDescent="0.2">
      <c r="A39" s="40" t="s">
        <v>320</v>
      </c>
      <c r="B39" s="44" t="s">
        <v>322</v>
      </c>
      <c r="C39" s="41" t="s">
        <v>1</v>
      </c>
      <c r="D39" s="37">
        <v>30</v>
      </c>
      <c r="E39" s="43">
        <v>200</v>
      </c>
      <c r="F39" s="35">
        <f t="shared" ref="F39:F47" si="4">+E39*D39</f>
        <v>6000</v>
      </c>
      <c r="H39" s="82"/>
    </row>
    <row r="40" spans="1:8" ht="15.95" customHeight="1" x14ac:dyDescent="0.2">
      <c r="A40" s="40" t="s">
        <v>321</v>
      </c>
      <c r="B40" s="44" t="s">
        <v>323</v>
      </c>
      <c r="C40" s="41" t="s">
        <v>1</v>
      </c>
      <c r="D40" s="37">
        <v>20</v>
      </c>
      <c r="E40" s="43">
        <v>250</v>
      </c>
      <c r="F40" s="35">
        <f t="shared" si="4"/>
        <v>5000</v>
      </c>
      <c r="H40" s="82"/>
    </row>
    <row r="41" spans="1:8" ht="15.95" customHeight="1" x14ac:dyDescent="0.2">
      <c r="A41" s="40" t="s">
        <v>159</v>
      </c>
      <c r="B41" s="44" t="s">
        <v>259</v>
      </c>
      <c r="C41" s="41"/>
      <c r="D41" s="42"/>
      <c r="E41" s="43"/>
      <c r="F41" s="35"/>
      <c r="H41" s="82"/>
    </row>
    <row r="42" spans="1:8" ht="15.95" customHeight="1" x14ac:dyDescent="0.2">
      <c r="A42" s="40" t="s">
        <v>260</v>
      </c>
      <c r="B42" s="45" t="s">
        <v>262</v>
      </c>
      <c r="C42" s="32" t="s">
        <v>76</v>
      </c>
      <c r="D42" s="37">
        <v>7</v>
      </c>
      <c r="E42" s="34">
        <v>250</v>
      </c>
      <c r="F42" s="35">
        <f t="shared" si="4"/>
        <v>1750</v>
      </c>
      <c r="G42" s="43"/>
      <c r="H42" s="82"/>
    </row>
    <row r="43" spans="1:8" ht="15.95" customHeight="1" x14ac:dyDescent="0.2">
      <c r="A43" s="40" t="s">
        <v>261</v>
      </c>
      <c r="B43" s="46" t="s">
        <v>388</v>
      </c>
      <c r="C43" s="32" t="s">
        <v>76</v>
      </c>
      <c r="D43" s="37">
        <v>2</v>
      </c>
      <c r="E43" s="34">
        <v>300</v>
      </c>
      <c r="F43" s="35">
        <f t="shared" si="4"/>
        <v>600</v>
      </c>
      <c r="G43" s="43"/>
      <c r="H43" s="82"/>
    </row>
    <row r="44" spans="1:8" ht="15.95" customHeight="1" x14ac:dyDescent="0.2">
      <c r="A44" s="40" t="s">
        <v>387</v>
      </c>
      <c r="B44" s="46" t="s">
        <v>263</v>
      </c>
      <c r="C44" s="32" t="s">
        <v>76</v>
      </c>
      <c r="D44" s="37">
        <v>2</v>
      </c>
      <c r="E44" s="34">
        <v>500</v>
      </c>
      <c r="F44" s="35">
        <f t="shared" si="4"/>
        <v>1000</v>
      </c>
      <c r="G44" s="43"/>
      <c r="H44" s="82"/>
    </row>
    <row r="45" spans="1:8" ht="15.95" customHeight="1" x14ac:dyDescent="0.2">
      <c r="A45" s="40" t="s">
        <v>160</v>
      </c>
      <c r="B45" s="46" t="s">
        <v>290</v>
      </c>
      <c r="C45" s="41" t="s">
        <v>1</v>
      </c>
      <c r="D45" s="37">
        <v>14</v>
      </c>
      <c r="E45" s="43">
        <v>250</v>
      </c>
      <c r="F45" s="35">
        <f t="shared" si="4"/>
        <v>3500</v>
      </c>
      <c r="G45" s="43"/>
      <c r="H45" s="82"/>
    </row>
    <row r="46" spans="1:8" ht="15" customHeight="1" x14ac:dyDescent="0.2">
      <c r="A46" s="40" t="s">
        <v>161</v>
      </c>
      <c r="B46" s="39" t="s">
        <v>325</v>
      </c>
      <c r="C46" s="32" t="s">
        <v>76</v>
      </c>
      <c r="D46" s="37">
        <v>1</v>
      </c>
      <c r="E46" s="43">
        <v>10000</v>
      </c>
      <c r="F46" s="35">
        <f t="shared" si="4"/>
        <v>10000</v>
      </c>
      <c r="G46" s="43"/>
      <c r="H46" s="82"/>
    </row>
    <row r="47" spans="1:8" ht="15" customHeight="1" x14ac:dyDescent="0.2">
      <c r="A47" s="40" t="s">
        <v>162</v>
      </c>
      <c r="B47" s="46" t="s">
        <v>319</v>
      </c>
      <c r="C47" s="32" t="s">
        <v>76</v>
      </c>
      <c r="D47" s="37">
        <v>1</v>
      </c>
      <c r="E47" s="43">
        <v>10000</v>
      </c>
      <c r="F47" s="35">
        <f t="shared" si="4"/>
        <v>10000</v>
      </c>
      <c r="G47" s="43"/>
      <c r="H47" s="82"/>
    </row>
    <row r="48" spans="1:8" ht="18" customHeight="1" x14ac:dyDescent="0.2">
      <c r="A48" s="241" t="s">
        <v>100</v>
      </c>
      <c r="B48" s="242"/>
      <c r="C48" s="242"/>
      <c r="D48" s="242"/>
      <c r="E48" s="243"/>
      <c r="F48" s="38">
        <f>SUM(F37:F47)</f>
        <v>37850</v>
      </c>
      <c r="H48" s="82"/>
    </row>
    <row r="49" spans="1:8" ht="18" customHeight="1" x14ac:dyDescent="0.2">
      <c r="A49" s="24"/>
      <c r="B49" s="25" t="s">
        <v>163</v>
      </c>
      <c r="C49" s="26"/>
      <c r="D49" s="27"/>
      <c r="E49" s="28"/>
      <c r="F49" s="35"/>
      <c r="H49" s="82"/>
    </row>
    <row r="50" spans="1:8" ht="15.95" customHeight="1" x14ac:dyDescent="0.2">
      <c r="A50" s="30" t="s">
        <v>164</v>
      </c>
      <c r="B50" s="39" t="s">
        <v>289</v>
      </c>
      <c r="C50" s="32" t="s">
        <v>5</v>
      </c>
      <c r="D50" s="37">
        <v>105</v>
      </c>
      <c r="E50" s="34">
        <v>1050</v>
      </c>
      <c r="F50" s="35">
        <f t="shared" ref="F50:F57" si="5">+E50*D50</f>
        <v>110250</v>
      </c>
      <c r="G50" s="43"/>
      <c r="H50" s="82"/>
    </row>
    <row r="51" spans="1:8" ht="15.95" customHeight="1" x14ac:dyDescent="0.2">
      <c r="A51" s="30" t="s">
        <v>165</v>
      </c>
      <c r="B51" s="46" t="s">
        <v>264</v>
      </c>
      <c r="C51" s="41" t="s">
        <v>79</v>
      </c>
      <c r="D51" s="37">
        <v>14700</v>
      </c>
      <c r="E51" s="34">
        <v>12</v>
      </c>
      <c r="F51" s="35">
        <f t="shared" si="5"/>
        <v>176400</v>
      </c>
      <c r="G51" s="43"/>
      <c r="H51" s="82"/>
    </row>
    <row r="52" spans="1:8" ht="15.95" customHeight="1" x14ac:dyDescent="0.2">
      <c r="A52" s="30" t="s">
        <v>166</v>
      </c>
      <c r="B52" s="46" t="s">
        <v>36</v>
      </c>
      <c r="C52" s="41"/>
      <c r="D52" s="42"/>
      <c r="E52" s="34"/>
      <c r="F52" s="35"/>
      <c r="G52" s="43"/>
      <c r="H52" s="82"/>
    </row>
    <row r="53" spans="1:8" ht="15.95" customHeight="1" x14ac:dyDescent="0.2">
      <c r="A53" s="30" t="s">
        <v>359</v>
      </c>
      <c r="B53" s="39" t="s">
        <v>362</v>
      </c>
      <c r="C53" s="41" t="s">
        <v>4</v>
      </c>
      <c r="D53" s="37">
        <v>285</v>
      </c>
      <c r="E53" s="34">
        <v>220</v>
      </c>
      <c r="F53" s="35">
        <f t="shared" si="5"/>
        <v>62700</v>
      </c>
      <c r="G53" s="43"/>
      <c r="H53" s="82"/>
    </row>
    <row r="54" spans="1:8" ht="15.95" customHeight="1" x14ac:dyDescent="0.2">
      <c r="A54" s="30" t="s">
        <v>360</v>
      </c>
      <c r="B54" s="46" t="s">
        <v>364</v>
      </c>
      <c r="C54" s="41" t="s">
        <v>4</v>
      </c>
      <c r="D54" s="37">
        <v>245</v>
      </c>
      <c r="E54" s="34">
        <v>280</v>
      </c>
      <c r="F54" s="35">
        <f t="shared" si="5"/>
        <v>68600</v>
      </c>
      <c r="G54" s="43"/>
      <c r="H54" s="82"/>
    </row>
    <row r="55" spans="1:8" ht="15.95" customHeight="1" x14ac:dyDescent="0.2">
      <c r="A55" s="30" t="s">
        <v>167</v>
      </c>
      <c r="B55" s="46" t="s">
        <v>7</v>
      </c>
      <c r="C55" s="41" t="s">
        <v>1</v>
      </c>
      <c r="D55" s="37">
        <v>7</v>
      </c>
      <c r="E55" s="34">
        <v>50</v>
      </c>
      <c r="F55" s="35">
        <f t="shared" si="5"/>
        <v>350</v>
      </c>
      <c r="G55" s="43"/>
      <c r="H55" s="82"/>
    </row>
    <row r="56" spans="1:8" ht="15.95" customHeight="1" x14ac:dyDescent="0.2">
      <c r="A56" s="30" t="s">
        <v>168</v>
      </c>
      <c r="B56" s="48" t="s">
        <v>265</v>
      </c>
      <c r="C56" s="41" t="s">
        <v>4</v>
      </c>
      <c r="D56" s="37">
        <v>7</v>
      </c>
      <c r="E56" s="43">
        <v>100</v>
      </c>
      <c r="F56" s="35">
        <f t="shared" si="5"/>
        <v>700</v>
      </c>
      <c r="G56" s="43"/>
      <c r="H56" s="82"/>
    </row>
    <row r="57" spans="1:8" ht="15.95" customHeight="1" x14ac:dyDescent="0.2">
      <c r="A57" s="30" t="s">
        <v>169</v>
      </c>
      <c r="B57" s="46" t="s">
        <v>266</v>
      </c>
      <c r="C57" s="41" t="s">
        <v>1</v>
      </c>
      <c r="D57" s="37">
        <v>50</v>
      </c>
      <c r="E57" s="43">
        <v>60</v>
      </c>
      <c r="F57" s="35">
        <f t="shared" si="5"/>
        <v>3000</v>
      </c>
      <c r="G57" s="43"/>
      <c r="H57" s="82"/>
    </row>
    <row r="58" spans="1:8" ht="18" customHeight="1" x14ac:dyDescent="0.2">
      <c r="A58" s="241" t="s">
        <v>101</v>
      </c>
      <c r="B58" s="242"/>
      <c r="C58" s="242"/>
      <c r="D58" s="242"/>
      <c r="E58" s="243"/>
      <c r="F58" s="38">
        <f>SUM(F49:F57)</f>
        <v>422000</v>
      </c>
      <c r="H58" s="82"/>
    </row>
    <row r="59" spans="1:8" ht="18" customHeight="1" x14ac:dyDescent="0.2">
      <c r="A59" s="24"/>
      <c r="B59" s="25" t="s">
        <v>170</v>
      </c>
      <c r="C59" s="26"/>
      <c r="D59" s="27"/>
      <c r="E59" s="28"/>
      <c r="F59" s="35"/>
      <c r="H59" s="82"/>
    </row>
    <row r="60" spans="1:8" ht="15.95" customHeight="1" x14ac:dyDescent="0.2">
      <c r="A60" s="40" t="s">
        <v>171</v>
      </c>
      <c r="B60" s="46" t="s">
        <v>304</v>
      </c>
      <c r="C60" s="41" t="s">
        <v>4</v>
      </c>
      <c r="D60" s="37">
        <v>705</v>
      </c>
      <c r="E60" s="43">
        <v>120</v>
      </c>
      <c r="F60" s="35">
        <f t="shared" ref="F60:F62" si="6">+E60*D60</f>
        <v>84600</v>
      </c>
      <c r="H60" s="82"/>
    </row>
    <row r="61" spans="1:8" ht="15.75" customHeight="1" x14ac:dyDescent="0.2">
      <c r="A61" s="40" t="s">
        <v>336</v>
      </c>
      <c r="B61" s="46" t="s">
        <v>82</v>
      </c>
      <c r="C61" s="41" t="s">
        <v>4</v>
      </c>
      <c r="D61" s="37">
        <v>105</v>
      </c>
      <c r="E61" s="43">
        <v>100</v>
      </c>
      <c r="F61" s="35">
        <f t="shared" si="6"/>
        <v>10500</v>
      </c>
      <c r="H61" s="82"/>
    </row>
    <row r="62" spans="1:8" ht="15.95" customHeight="1" x14ac:dyDescent="0.2">
      <c r="A62" s="40" t="s">
        <v>172</v>
      </c>
      <c r="B62" s="46" t="s">
        <v>327</v>
      </c>
      <c r="C62" s="41" t="s">
        <v>1</v>
      </c>
      <c r="D62" s="37">
        <v>205</v>
      </c>
      <c r="E62" s="43">
        <v>900</v>
      </c>
      <c r="F62" s="35">
        <f t="shared" si="6"/>
        <v>184500</v>
      </c>
      <c r="H62" s="82"/>
    </row>
    <row r="63" spans="1:8" s="5" customFormat="1" ht="18" customHeight="1" x14ac:dyDescent="0.2">
      <c r="A63" s="241" t="s">
        <v>102</v>
      </c>
      <c r="B63" s="242"/>
      <c r="C63" s="242"/>
      <c r="D63" s="242"/>
      <c r="E63" s="243"/>
      <c r="F63" s="38">
        <f>SUM(F59:F62)</f>
        <v>279600</v>
      </c>
      <c r="H63" s="82"/>
    </row>
    <row r="64" spans="1:8" ht="18" customHeight="1" x14ac:dyDescent="0.2">
      <c r="A64" s="24"/>
      <c r="B64" s="25" t="s">
        <v>177</v>
      </c>
      <c r="C64" s="26"/>
      <c r="D64" s="27"/>
      <c r="E64" s="28"/>
      <c r="F64" s="35"/>
      <c r="H64" s="82"/>
    </row>
    <row r="65" spans="1:8" ht="15.95" customHeight="1" x14ac:dyDescent="0.2">
      <c r="A65" s="40" t="s">
        <v>176</v>
      </c>
      <c r="B65" s="46" t="s">
        <v>646</v>
      </c>
      <c r="C65" s="41" t="s">
        <v>4</v>
      </c>
      <c r="D65" s="37">
        <v>910</v>
      </c>
      <c r="E65" s="43">
        <v>40</v>
      </c>
      <c r="F65" s="35">
        <f t="shared" ref="F65:F68" si="7">+E65*D65</f>
        <v>36400</v>
      </c>
      <c r="G65" s="43"/>
      <c r="H65" s="82"/>
    </row>
    <row r="66" spans="1:8" ht="24" x14ac:dyDescent="0.2">
      <c r="A66" s="40" t="s">
        <v>178</v>
      </c>
      <c r="B66" s="45" t="s">
        <v>84</v>
      </c>
      <c r="C66" s="41" t="s">
        <v>4</v>
      </c>
      <c r="D66" s="37">
        <v>850</v>
      </c>
      <c r="E66" s="43">
        <v>40</v>
      </c>
      <c r="F66" s="35">
        <f t="shared" si="7"/>
        <v>34000</v>
      </c>
      <c r="G66" s="43"/>
      <c r="H66" s="82"/>
    </row>
    <row r="67" spans="1:8" ht="16.5" customHeight="1" x14ac:dyDescent="0.2">
      <c r="A67" s="40" t="s">
        <v>179</v>
      </c>
      <c r="B67" s="45" t="s">
        <v>268</v>
      </c>
      <c r="C67" s="41" t="s">
        <v>4</v>
      </c>
      <c r="D67" s="37">
        <v>490</v>
      </c>
      <c r="E67" s="43">
        <v>25</v>
      </c>
      <c r="F67" s="35">
        <f t="shared" si="7"/>
        <v>12250</v>
      </c>
      <c r="G67" s="43"/>
      <c r="H67" s="82"/>
    </row>
    <row r="68" spans="1:8" ht="17.100000000000001" customHeight="1" x14ac:dyDescent="0.2">
      <c r="A68" s="40" t="s">
        <v>180</v>
      </c>
      <c r="B68" s="46" t="s">
        <v>269</v>
      </c>
      <c r="C68" s="41" t="s">
        <v>1</v>
      </c>
      <c r="D68" s="37">
        <v>160</v>
      </c>
      <c r="E68" s="43">
        <v>30</v>
      </c>
      <c r="F68" s="35">
        <f t="shared" si="7"/>
        <v>4800</v>
      </c>
      <c r="G68" s="43"/>
      <c r="H68" s="82"/>
    </row>
    <row r="69" spans="1:8" ht="18" customHeight="1" x14ac:dyDescent="0.2">
      <c r="A69" s="241" t="s">
        <v>103</v>
      </c>
      <c r="B69" s="242"/>
      <c r="C69" s="242"/>
      <c r="D69" s="242"/>
      <c r="E69" s="243"/>
      <c r="F69" s="38">
        <f>SUM(F64:F68)</f>
        <v>87450</v>
      </c>
      <c r="H69" s="82"/>
    </row>
    <row r="70" spans="1:8" ht="18" customHeight="1" x14ac:dyDescent="0.2">
      <c r="A70" s="24"/>
      <c r="B70" s="25" t="s">
        <v>181</v>
      </c>
      <c r="C70" s="26"/>
      <c r="D70" s="27"/>
      <c r="E70" s="28"/>
      <c r="F70" s="35"/>
      <c r="H70" s="82"/>
    </row>
    <row r="71" spans="1:8" ht="15.95" customHeight="1" x14ac:dyDescent="0.2">
      <c r="A71" s="40" t="s">
        <v>403</v>
      </c>
      <c r="B71" s="45" t="s">
        <v>313</v>
      </c>
      <c r="C71" s="41" t="s">
        <v>76</v>
      </c>
      <c r="D71" s="37">
        <v>5</v>
      </c>
      <c r="E71" s="43">
        <v>500</v>
      </c>
      <c r="F71" s="35">
        <f t="shared" ref="F71:F76" si="8">+E71*D71</f>
        <v>2500</v>
      </c>
      <c r="G71" s="43"/>
      <c r="H71" s="82"/>
    </row>
    <row r="72" spans="1:8" ht="15.95" customHeight="1" x14ac:dyDescent="0.2">
      <c r="A72" s="40" t="s">
        <v>182</v>
      </c>
      <c r="B72" s="39" t="s">
        <v>305</v>
      </c>
      <c r="C72" s="32" t="s">
        <v>76</v>
      </c>
      <c r="D72" s="37">
        <v>2</v>
      </c>
      <c r="E72" s="34">
        <v>800</v>
      </c>
      <c r="F72" s="35">
        <f t="shared" si="8"/>
        <v>1600</v>
      </c>
      <c r="G72" s="43"/>
      <c r="H72" s="82"/>
    </row>
    <row r="73" spans="1:8" ht="15.95" customHeight="1" x14ac:dyDescent="0.2">
      <c r="A73" s="40" t="s">
        <v>337</v>
      </c>
      <c r="B73" s="39" t="s">
        <v>649</v>
      </c>
      <c r="C73" s="32" t="s">
        <v>76</v>
      </c>
      <c r="D73" s="37">
        <v>3</v>
      </c>
      <c r="E73" s="34">
        <v>200</v>
      </c>
      <c r="F73" s="35">
        <f t="shared" ref="F73" si="9">+E73*D73</f>
        <v>600</v>
      </c>
      <c r="G73" s="43"/>
      <c r="H73" s="82"/>
    </row>
    <row r="74" spans="1:8" ht="18" customHeight="1" x14ac:dyDescent="0.2">
      <c r="A74" s="40" t="s">
        <v>183</v>
      </c>
      <c r="B74" s="47" t="s">
        <v>91</v>
      </c>
      <c r="C74" s="32" t="s">
        <v>76</v>
      </c>
      <c r="D74" s="37">
        <v>6</v>
      </c>
      <c r="E74" s="34">
        <v>2000</v>
      </c>
      <c r="F74" s="35">
        <f t="shared" si="8"/>
        <v>12000</v>
      </c>
      <c r="G74" s="43"/>
      <c r="H74" s="82"/>
    </row>
    <row r="75" spans="1:8" ht="18" customHeight="1" x14ac:dyDescent="0.2">
      <c r="A75" s="40" t="s">
        <v>184</v>
      </c>
      <c r="B75" s="47" t="s">
        <v>438</v>
      </c>
      <c r="C75" s="32" t="s">
        <v>376</v>
      </c>
      <c r="D75" s="37">
        <v>30</v>
      </c>
      <c r="E75" s="34">
        <v>200</v>
      </c>
      <c r="F75" s="35">
        <f t="shared" si="8"/>
        <v>6000</v>
      </c>
      <c r="G75" s="43"/>
      <c r="H75" s="82"/>
    </row>
    <row r="76" spans="1:8" ht="18" customHeight="1" x14ac:dyDescent="0.2">
      <c r="A76" s="40" t="s">
        <v>185</v>
      </c>
      <c r="B76" s="47" t="s">
        <v>519</v>
      </c>
      <c r="C76" s="32" t="s">
        <v>76</v>
      </c>
      <c r="D76" s="37">
        <v>1</v>
      </c>
      <c r="E76" s="34">
        <v>30000</v>
      </c>
      <c r="F76" s="35">
        <f t="shared" si="8"/>
        <v>30000</v>
      </c>
      <c r="G76" s="43"/>
      <c r="H76" s="82"/>
    </row>
    <row r="77" spans="1:8" ht="18" customHeight="1" x14ac:dyDescent="0.2">
      <c r="A77" s="241" t="s">
        <v>104</v>
      </c>
      <c r="B77" s="242"/>
      <c r="C77" s="242"/>
      <c r="D77" s="242"/>
      <c r="E77" s="243"/>
      <c r="F77" s="38">
        <f>SUM(F70:F76)</f>
        <v>52700</v>
      </c>
      <c r="H77" s="82"/>
    </row>
    <row r="78" spans="1:8" ht="18" customHeight="1" x14ac:dyDescent="0.2">
      <c r="A78" s="241" t="s">
        <v>105</v>
      </c>
      <c r="B78" s="242"/>
      <c r="C78" s="242"/>
      <c r="D78" s="242"/>
      <c r="E78" s="243"/>
      <c r="F78" s="38">
        <f>F77+F69+F63+F58+F48+F36+F32+F27+F21</f>
        <v>1225070</v>
      </c>
      <c r="H78" s="82"/>
    </row>
    <row r="79" spans="1:8" ht="18" customHeight="1" x14ac:dyDescent="0.2">
      <c r="A79" s="24"/>
      <c r="B79" s="25" t="s">
        <v>189</v>
      </c>
      <c r="C79" s="26"/>
      <c r="D79" s="27"/>
      <c r="E79" s="28"/>
      <c r="F79" s="35"/>
      <c r="H79" s="82"/>
    </row>
    <row r="80" spans="1:8" ht="18" customHeight="1" x14ac:dyDescent="0.2">
      <c r="A80" s="40" t="s">
        <v>190</v>
      </c>
      <c r="B80" s="46" t="s">
        <v>120</v>
      </c>
      <c r="C80" s="41" t="s">
        <v>4</v>
      </c>
      <c r="D80" s="42">
        <v>390</v>
      </c>
      <c r="E80" s="43">
        <v>50</v>
      </c>
      <c r="F80" s="35">
        <f t="shared" ref="F80:F85" si="10">+E80*D80</f>
        <v>19500</v>
      </c>
      <c r="G80" s="43"/>
      <c r="H80" s="82"/>
    </row>
    <row r="81" spans="1:8" ht="18" customHeight="1" x14ac:dyDescent="0.2">
      <c r="A81" s="40" t="s">
        <v>191</v>
      </c>
      <c r="B81" s="46" t="s">
        <v>439</v>
      </c>
      <c r="C81" s="41" t="s">
        <v>4</v>
      </c>
      <c r="D81" s="42">
        <v>390</v>
      </c>
      <c r="E81" s="43">
        <v>130</v>
      </c>
      <c r="F81" s="35">
        <f t="shared" si="10"/>
        <v>50700</v>
      </c>
      <c r="G81" s="43"/>
      <c r="H81" s="82"/>
    </row>
    <row r="82" spans="1:8" ht="18" customHeight="1" x14ac:dyDescent="0.2">
      <c r="A82" s="40" t="s">
        <v>192</v>
      </c>
      <c r="B82" s="46" t="s">
        <v>8</v>
      </c>
      <c r="C82" s="41" t="s">
        <v>1</v>
      </c>
      <c r="D82" s="42">
        <v>165</v>
      </c>
      <c r="E82" s="43">
        <v>80</v>
      </c>
      <c r="F82" s="35">
        <f t="shared" si="10"/>
        <v>13200</v>
      </c>
      <c r="G82" s="43"/>
      <c r="H82" s="82"/>
    </row>
    <row r="83" spans="1:8" ht="18" customHeight="1" x14ac:dyDescent="0.2">
      <c r="A83" s="40" t="s">
        <v>193</v>
      </c>
      <c r="B83" s="46" t="s">
        <v>271</v>
      </c>
      <c r="C83" s="41" t="s">
        <v>4</v>
      </c>
      <c r="D83" s="42">
        <v>390</v>
      </c>
      <c r="E83" s="43">
        <v>60</v>
      </c>
      <c r="F83" s="35">
        <f t="shared" si="10"/>
        <v>23400</v>
      </c>
      <c r="G83" s="43"/>
      <c r="H83" s="82"/>
    </row>
    <row r="84" spans="1:8" ht="18" customHeight="1" x14ac:dyDescent="0.2">
      <c r="A84" s="40" t="s">
        <v>194</v>
      </c>
      <c r="B84" s="46" t="s">
        <v>9</v>
      </c>
      <c r="C84" s="41" t="s">
        <v>1</v>
      </c>
      <c r="D84" s="42">
        <v>165</v>
      </c>
      <c r="E84" s="43">
        <v>50</v>
      </c>
      <c r="F84" s="35">
        <f t="shared" si="10"/>
        <v>8250</v>
      </c>
      <c r="G84" s="43"/>
      <c r="H84" s="82"/>
    </row>
    <row r="85" spans="1:8" ht="18" customHeight="1" x14ac:dyDescent="0.2">
      <c r="A85" s="40" t="s">
        <v>643</v>
      </c>
      <c r="B85" s="46" t="s">
        <v>314</v>
      </c>
      <c r="C85" s="32" t="s">
        <v>76</v>
      </c>
      <c r="D85" s="42">
        <v>8</v>
      </c>
      <c r="E85" s="43">
        <v>500</v>
      </c>
      <c r="F85" s="35">
        <f t="shared" si="10"/>
        <v>4000</v>
      </c>
      <c r="G85" s="43"/>
      <c r="H85" s="82"/>
    </row>
    <row r="86" spans="1:8" s="5" customFormat="1" ht="18" customHeight="1" x14ac:dyDescent="0.2">
      <c r="A86" s="241" t="s">
        <v>107</v>
      </c>
      <c r="B86" s="242"/>
      <c r="C86" s="242"/>
      <c r="D86" s="242"/>
      <c r="E86" s="243"/>
      <c r="F86" s="38">
        <f>SUM(F79:F85)</f>
        <v>119050</v>
      </c>
      <c r="H86" s="82"/>
    </row>
    <row r="87" spans="1:8" ht="15.95" customHeight="1" x14ac:dyDescent="0.2">
      <c r="A87" s="24"/>
      <c r="B87" s="25" t="s">
        <v>272</v>
      </c>
      <c r="C87" s="26"/>
      <c r="D87" s="27"/>
      <c r="E87" s="28"/>
      <c r="F87" s="35"/>
      <c r="H87" s="82"/>
    </row>
    <row r="88" spans="1:8" ht="15.95" customHeight="1" x14ac:dyDescent="0.2">
      <c r="A88" s="40" t="s">
        <v>197</v>
      </c>
      <c r="B88" s="46" t="s">
        <v>551</v>
      </c>
      <c r="C88" s="41" t="s">
        <v>4</v>
      </c>
      <c r="D88" s="42">
        <v>445</v>
      </c>
      <c r="E88" s="43">
        <v>130</v>
      </c>
      <c r="F88" s="35">
        <f t="shared" ref="F88:F100" si="11">+E88*D88</f>
        <v>57850</v>
      </c>
      <c r="H88" s="82"/>
    </row>
    <row r="89" spans="1:8" ht="15.95" customHeight="1" x14ac:dyDescent="0.2">
      <c r="A89" s="40" t="s">
        <v>198</v>
      </c>
      <c r="B89" s="50" t="s">
        <v>607</v>
      </c>
      <c r="C89" s="51" t="s">
        <v>4</v>
      </c>
      <c r="D89" s="42">
        <v>110</v>
      </c>
      <c r="E89" s="34">
        <v>150</v>
      </c>
      <c r="F89" s="35">
        <f t="shared" si="11"/>
        <v>16500</v>
      </c>
      <c r="H89" s="82"/>
    </row>
    <row r="90" spans="1:8" ht="15.95" customHeight="1" x14ac:dyDescent="0.2">
      <c r="A90" s="40" t="s">
        <v>199</v>
      </c>
      <c r="B90" s="52" t="s">
        <v>608</v>
      </c>
      <c r="C90" s="41" t="s">
        <v>1</v>
      </c>
      <c r="D90" s="42">
        <v>220</v>
      </c>
      <c r="E90" s="43">
        <v>50</v>
      </c>
      <c r="F90" s="35">
        <f t="shared" si="11"/>
        <v>11000</v>
      </c>
      <c r="H90" s="82"/>
    </row>
    <row r="91" spans="1:8" ht="15.95" customHeight="1" x14ac:dyDescent="0.2">
      <c r="A91" s="40" t="s">
        <v>200</v>
      </c>
      <c r="B91" s="46" t="s">
        <v>650</v>
      </c>
      <c r="C91" s="41" t="s">
        <v>4</v>
      </c>
      <c r="D91" s="42">
        <v>105</v>
      </c>
      <c r="E91" s="43">
        <v>90</v>
      </c>
      <c r="F91" s="35">
        <f t="shared" si="11"/>
        <v>9450</v>
      </c>
      <c r="H91" s="82"/>
    </row>
    <row r="92" spans="1:8" ht="18" customHeight="1" x14ac:dyDescent="0.2">
      <c r="A92" s="40" t="s">
        <v>201</v>
      </c>
      <c r="B92" s="54" t="s">
        <v>609</v>
      </c>
      <c r="C92" s="41" t="s">
        <v>1</v>
      </c>
      <c r="D92" s="42">
        <v>32</v>
      </c>
      <c r="E92" s="43">
        <v>100</v>
      </c>
      <c r="F92" s="35">
        <f t="shared" si="11"/>
        <v>3200</v>
      </c>
      <c r="H92" s="82"/>
    </row>
    <row r="93" spans="1:8" ht="18" customHeight="1" x14ac:dyDescent="0.2">
      <c r="A93" s="40" t="s">
        <v>339</v>
      </c>
      <c r="B93" s="54" t="s">
        <v>610</v>
      </c>
      <c r="C93" s="41" t="s">
        <v>1</v>
      </c>
      <c r="D93" s="42">
        <v>32</v>
      </c>
      <c r="E93" s="43">
        <v>80</v>
      </c>
      <c r="F93" s="35">
        <f t="shared" si="11"/>
        <v>2560</v>
      </c>
      <c r="H93" s="82"/>
    </row>
    <row r="94" spans="1:8" ht="18" customHeight="1" x14ac:dyDescent="0.2">
      <c r="A94" s="40" t="s">
        <v>202</v>
      </c>
      <c r="B94" s="45" t="s">
        <v>611</v>
      </c>
      <c r="C94" s="41" t="s">
        <v>4</v>
      </c>
      <c r="D94" s="42">
        <v>320</v>
      </c>
      <c r="E94" s="43">
        <v>140</v>
      </c>
      <c r="F94" s="35">
        <f t="shared" si="11"/>
        <v>44800</v>
      </c>
      <c r="H94" s="82"/>
    </row>
    <row r="95" spans="1:8" ht="18" customHeight="1" x14ac:dyDescent="0.2">
      <c r="A95" s="40" t="s">
        <v>203</v>
      </c>
      <c r="B95" s="45" t="s">
        <v>532</v>
      </c>
      <c r="C95" s="41" t="s">
        <v>4</v>
      </c>
      <c r="D95" s="42">
        <v>2</v>
      </c>
      <c r="E95" s="43">
        <v>600</v>
      </c>
      <c r="F95" s="35">
        <f t="shared" si="11"/>
        <v>1200</v>
      </c>
      <c r="H95" s="82"/>
    </row>
    <row r="96" spans="1:8" ht="15.95" customHeight="1" x14ac:dyDescent="0.2">
      <c r="A96" s="40" t="s">
        <v>340</v>
      </c>
      <c r="B96" s="55" t="s">
        <v>353</v>
      </c>
      <c r="C96" s="41" t="s">
        <v>4</v>
      </c>
      <c r="D96" s="42">
        <v>90</v>
      </c>
      <c r="E96" s="43">
        <v>200</v>
      </c>
      <c r="F96" s="35">
        <f t="shared" si="11"/>
        <v>18000</v>
      </c>
      <c r="G96" s="10"/>
      <c r="H96" s="82"/>
    </row>
    <row r="97" spans="1:10" ht="15.95" customHeight="1" x14ac:dyDescent="0.2">
      <c r="A97" s="40" t="s">
        <v>341</v>
      </c>
      <c r="B97" s="46" t="s">
        <v>335</v>
      </c>
      <c r="C97" s="41" t="s">
        <v>4</v>
      </c>
      <c r="D97" s="42">
        <v>30</v>
      </c>
      <c r="E97" s="43">
        <v>140</v>
      </c>
      <c r="F97" s="35">
        <f t="shared" si="11"/>
        <v>4200</v>
      </c>
      <c r="H97" s="82"/>
    </row>
    <row r="98" spans="1:10" ht="15.95" customHeight="1" x14ac:dyDescent="0.2">
      <c r="A98" s="40" t="s">
        <v>204</v>
      </c>
      <c r="B98" s="46" t="s">
        <v>370</v>
      </c>
      <c r="C98" s="41" t="s">
        <v>4</v>
      </c>
      <c r="D98" s="42">
        <v>940</v>
      </c>
      <c r="E98" s="43">
        <v>140</v>
      </c>
      <c r="F98" s="35">
        <f t="shared" si="11"/>
        <v>131600</v>
      </c>
      <c r="G98" s="82"/>
      <c r="H98" s="82"/>
      <c r="I98" s="83"/>
      <c r="J98" s="83"/>
    </row>
    <row r="99" spans="1:10" ht="15.95" customHeight="1" x14ac:dyDescent="0.2">
      <c r="A99" s="40" t="s">
        <v>205</v>
      </c>
      <c r="B99" s="46" t="s">
        <v>373</v>
      </c>
      <c r="C99" s="41" t="s">
        <v>4</v>
      </c>
      <c r="D99" s="42">
        <v>360</v>
      </c>
      <c r="E99" s="43">
        <v>130</v>
      </c>
      <c r="F99" s="35">
        <f t="shared" si="11"/>
        <v>46800</v>
      </c>
      <c r="G99" s="82"/>
      <c r="H99" s="82"/>
      <c r="I99" s="83"/>
      <c r="J99" s="83"/>
    </row>
    <row r="100" spans="1:10" ht="15.95" customHeight="1" x14ac:dyDescent="0.2">
      <c r="A100" s="40" t="s">
        <v>206</v>
      </c>
      <c r="B100" s="46" t="s">
        <v>374</v>
      </c>
      <c r="C100" s="41" t="s">
        <v>4</v>
      </c>
      <c r="D100" s="42">
        <v>120</v>
      </c>
      <c r="E100" s="43">
        <v>120</v>
      </c>
      <c r="F100" s="35">
        <f t="shared" si="11"/>
        <v>14400</v>
      </c>
      <c r="H100" s="82"/>
    </row>
    <row r="101" spans="1:10" ht="15.95" customHeight="1" x14ac:dyDescent="0.2">
      <c r="A101" s="40" t="s">
        <v>372</v>
      </c>
      <c r="B101" s="46" t="s">
        <v>651</v>
      </c>
      <c r="C101" s="41" t="s">
        <v>1</v>
      </c>
      <c r="D101" s="42">
        <v>60</v>
      </c>
      <c r="E101" s="43">
        <v>130</v>
      </c>
      <c r="F101" s="35">
        <f t="shared" ref="F101" si="12">+E101*D101</f>
        <v>7800</v>
      </c>
      <c r="H101" s="82"/>
    </row>
    <row r="102" spans="1:10" ht="18" customHeight="1" x14ac:dyDescent="0.2">
      <c r="A102" s="241" t="s">
        <v>106</v>
      </c>
      <c r="B102" s="242"/>
      <c r="C102" s="242"/>
      <c r="D102" s="242"/>
      <c r="E102" s="243"/>
      <c r="F102" s="38">
        <f>SUM(F87:F101)</f>
        <v>369360</v>
      </c>
      <c r="H102" s="82"/>
    </row>
    <row r="103" spans="1:10" ht="18" customHeight="1" x14ac:dyDescent="0.2">
      <c r="A103" s="24"/>
      <c r="B103" s="25" t="s">
        <v>292</v>
      </c>
      <c r="C103" s="26"/>
      <c r="D103" s="27"/>
      <c r="E103" s="28"/>
      <c r="F103" s="35"/>
      <c r="H103" s="82"/>
    </row>
    <row r="104" spans="1:10" ht="18" customHeight="1" x14ac:dyDescent="0.2">
      <c r="A104" s="30"/>
      <c r="B104" s="31" t="s">
        <v>10</v>
      </c>
      <c r="C104" s="32"/>
      <c r="D104" s="33"/>
      <c r="E104" s="34"/>
      <c r="F104" s="35"/>
      <c r="H104" s="82"/>
    </row>
    <row r="105" spans="1:10" ht="18" customHeight="1" x14ac:dyDescent="0.2">
      <c r="A105" s="30" t="s">
        <v>207</v>
      </c>
      <c r="B105" s="39" t="s">
        <v>443</v>
      </c>
      <c r="C105" s="32" t="s">
        <v>4</v>
      </c>
      <c r="D105" s="42">
        <v>14</v>
      </c>
      <c r="E105" s="34">
        <v>800</v>
      </c>
      <c r="F105" s="35">
        <f t="shared" ref="F105:F107" si="13">+E105*D105</f>
        <v>11200</v>
      </c>
      <c r="H105" s="82"/>
    </row>
    <row r="106" spans="1:10" ht="18" customHeight="1" x14ac:dyDescent="0.2">
      <c r="A106" s="30" t="s">
        <v>342</v>
      </c>
      <c r="B106" s="39" t="s">
        <v>444</v>
      </c>
      <c r="C106" s="32" t="s">
        <v>4</v>
      </c>
      <c r="D106" s="42">
        <v>32</v>
      </c>
      <c r="E106" s="34">
        <v>900</v>
      </c>
      <c r="F106" s="35">
        <f t="shared" si="13"/>
        <v>28800</v>
      </c>
      <c r="H106" s="82"/>
    </row>
    <row r="107" spans="1:10" ht="18" customHeight="1" x14ac:dyDescent="0.2">
      <c r="A107" s="30" t="s">
        <v>208</v>
      </c>
      <c r="B107" s="39" t="s">
        <v>92</v>
      </c>
      <c r="C107" s="41" t="s">
        <v>4</v>
      </c>
      <c r="D107" s="42">
        <v>28</v>
      </c>
      <c r="E107" s="34">
        <v>900</v>
      </c>
      <c r="F107" s="35">
        <f t="shared" si="13"/>
        <v>25200</v>
      </c>
      <c r="H107" s="82"/>
    </row>
    <row r="108" spans="1:10" ht="18" customHeight="1" x14ac:dyDescent="0.2">
      <c r="A108" s="241" t="s">
        <v>108</v>
      </c>
      <c r="B108" s="242"/>
      <c r="C108" s="242"/>
      <c r="D108" s="242"/>
      <c r="E108" s="243"/>
      <c r="F108" s="38">
        <f>SUM(F103:F107)</f>
        <v>65200</v>
      </c>
      <c r="H108" s="82"/>
    </row>
    <row r="109" spans="1:10" ht="18" customHeight="1" x14ac:dyDescent="0.2">
      <c r="A109" s="24"/>
      <c r="B109" s="25" t="s">
        <v>40</v>
      </c>
      <c r="C109" s="26"/>
      <c r="D109" s="27"/>
      <c r="E109" s="28"/>
      <c r="F109" s="35"/>
      <c r="H109" s="82"/>
    </row>
    <row r="110" spans="1:10" ht="18" customHeight="1" x14ac:dyDescent="0.2">
      <c r="A110" s="56" t="s">
        <v>209</v>
      </c>
      <c r="B110" s="52" t="s">
        <v>329</v>
      </c>
      <c r="C110" s="41" t="s">
        <v>4</v>
      </c>
      <c r="D110" s="42">
        <v>48</v>
      </c>
      <c r="E110" s="43">
        <v>1000</v>
      </c>
      <c r="F110" s="35">
        <f t="shared" ref="F110:F111" si="14">+E110*D110</f>
        <v>48000</v>
      </c>
      <c r="H110" s="82"/>
    </row>
    <row r="111" spans="1:10" ht="18" customHeight="1" x14ac:dyDescent="0.2">
      <c r="A111" s="30" t="s">
        <v>343</v>
      </c>
      <c r="B111" s="46" t="s">
        <v>652</v>
      </c>
      <c r="C111" s="41" t="s">
        <v>4</v>
      </c>
      <c r="D111" s="42">
        <v>1</v>
      </c>
      <c r="E111" s="34">
        <v>900</v>
      </c>
      <c r="F111" s="35">
        <f t="shared" si="14"/>
        <v>900</v>
      </c>
      <c r="H111" s="82"/>
    </row>
    <row r="112" spans="1:10" ht="18" customHeight="1" x14ac:dyDescent="0.2">
      <c r="A112" s="241" t="s">
        <v>109</v>
      </c>
      <c r="B112" s="242"/>
      <c r="C112" s="242"/>
      <c r="D112" s="242"/>
      <c r="E112" s="243"/>
      <c r="F112" s="38">
        <f>SUM(F109:F111)</f>
        <v>48900</v>
      </c>
      <c r="H112" s="82"/>
    </row>
    <row r="113" spans="1:8" ht="18" customHeight="1" x14ac:dyDescent="0.2">
      <c r="A113" s="24"/>
      <c r="B113" s="25" t="s">
        <v>41</v>
      </c>
      <c r="C113" s="26"/>
      <c r="D113" s="27"/>
      <c r="E113" s="28"/>
      <c r="F113" s="35"/>
      <c r="H113" s="82"/>
    </row>
    <row r="114" spans="1:8" ht="18" customHeight="1" x14ac:dyDescent="0.2">
      <c r="A114" s="57" t="s">
        <v>210</v>
      </c>
      <c r="B114" s="46" t="s">
        <v>121</v>
      </c>
      <c r="C114" s="41" t="s">
        <v>4</v>
      </c>
      <c r="D114" s="42">
        <v>40</v>
      </c>
      <c r="E114" s="43">
        <v>800</v>
      </c>
      <c r="F114" s="35">
        <f t="shared" ref="F114:F117" si="15">+E114*D114</f>
        <v>32000</v>
      </c>
      <c r="H114" s="82"/>
    </row>
    <row r="115" spans="1:8" ht="18" customHeight="1" x14ac:dyDescent="0.2">
      <c r="A115" s="57" t="s">
        <v>211</v>
      </c>
      <c r="B115" s="46" t="s">
        <v>653</v>
      </c>
      <c r="C115" s="41" t="s">
        <v>4</v>
      </c>
      <c r="D115" s="42">
        <v>20</v>
      </c>
      <c r="E115" s="43">
        <v>1000</v>
      </c>
      <c r="F115" s="35">
        <f t="shared" si="15"/>
        <v>20000</v>
      </c>
      <c r="H115" s="82"/>
    </row>
    <row r="116" spans="1:8" ht="18" customHeight="1" x14ac:dyDescent="0.2">
      <c r="A116" s="57" t="s">
        <v>212</v>
      </c>
      <c r="B116" s="46" t="s">
        <v>93</v>
      </c>
      <c r="C116" s="41" t="s">
        <v>4</v>
      </c>
      <c r="D116" s="42">
        <v>48</v>
      </c>
      <c r="E116" s="43">
        <v>660</v>
      </c>
      <c r="F116" s="35">
        <f t="shared" si="15"/>
        <v>31680</v>
      </c>
      <c r="H116" s="82"/>
    </row>
    <row r="117" spans="1:8" ht="18" customHeight="1" x14ac:dyDescent="0.2">
      <c r="A117" s="57" t="s">
        <v>344</v>
      </c>
      <c r="B117" s="46" t="s">
        <v>355</v>
      </c>
      <c r="C117" s="41" t="s">
        <v>1</v>
      </c>
      <c r="D117" s="42">
        <v>10</v>
      </c>
      <c r="E117" s="43">
        <v>250</v>
      </c>
      <c r="F117" s="35">
        <f t="shared" si="15"/>
        <v>2500</v>
      </c>
      <c r="H117" s="82"/>
    </row>
    <row r="118" spans="1:8" ht="18" customHeight="1" x14ac:dyDescent="0.2">
      <c r="A118" s="241" t="s">
        <v>110</v>
      </c>
      <c r="B118" s="242"/>
      <c r="C118" s="242"/>
      <c r="D118" s="242"/>
      <c r="E118" s="243"/>
      <c r="F118" s="38">
        <f>SUM(F113:F117)</f>
        <v>86180</v>
      </c>
      <c r="H118" s="82"/>
    </row>
    <row r="119" spans="1:8" ht="18" customHeight="1" x14ac:dyDescent="0.2">
      <c r="A119" s="24"/>
      <c r="B119" s="25" t="s">
        <v>42</v>
      </c>
      <c r="C119" s="26"/>
      <c r="D119" s="27"/>
      <c r="E119" s="28"/>
      <c r="F119" s="35"/>
      <c r="H119" s="82"/>
    </row>
    <row r="120" spans="1:8" ht="18" customHeight="1" x14ac:dyDescent="0.2">
      <c r="A120" s="56" t="s">
        <v>213</v>
      </c>
      <c r="B120" s="46" t="s">
        <v>275</v>
      </c>
      <c r="C120" s="41" t="s">
        <v>1</v>
      </c>
      <c r="D120" s="42">
        <v>65</v>
      </c>
      <c r="E120" s="43">
        <v>200</v>
      </c>
      <c r="F120" s="35">
        <f t="shared" ref="F120:F124" si="16">+E120*D120</f>
        <v>13000</v>
      </c>
      <c r="H120" s="82"/>
    </row>
    <row r="121" spans="1:8" ht="18" customHeight="1" x14ac:dyDescent="0.2">
      <c r="A121" s="56" t="s">
        <v>214</v>
      </c>
      <c r="B121" s="46" t="s">
        <v>330</v>
      </c>
      <c r="C121" s="41" t="s">
        <v>1</v>
      </c>
      <c r="D121" s="42">
        <v>10</v>
      </c>
      <c r="E121" s="43">
        <v>1000</v>
      </c>
      <c r="F121" s="35">
        <f t="shared" si="16"/>
        <v>10000</v>
      </c>
      <c r="H121" s="82"/>
    </row>
    <row r="122" spans="1:8" ht="18" customHeight="1" x14ac:dyDescent="0.2">
      <c r="A122" s="56" t="s">
        <v>215</v>
      </c>
      <c r="B122" s="46" t="s">
        <v>11</v>
      </c>
      <c r="C122" s="41" t="s">
        <v>76</v>
      </c>
      <c r="D122" s="42">
        <v>2</v>
      </c>
      <c r="E122" s="43">
        <v>1200</v>
      </c>
      <c r="F122" s="35">
        <f t="shared" si="16"/>
        <v>2400</v>
      </c>
      <c r="H122" s="82"/>
    </row>
    <row r="123" spans="1:8" ht="18" customHeight="1" x14ac:dyDescent="0.2">
      <c r="A123" s="56" t="s">
        <v>216</v>
      </c>
      <c r="B123" s="46" t="s">
        <v>445</v>
      </c>
      <c r="C123" s="41" t="s">
        <v>76</v>
      </c>
      <c r="D123" s="42">
        <v>2</v>
      </c>
      <c r="E123" s="43">
        <v>3000</v>
      </c>
      <c r="F123" s="35">
        <f t="shared" si="16"/>
        <v>6000</v>
      </c>
      <c r="H123" s="82"/>
    </row>
    <row r="124" spans="1:8" ht="18" customHeight="1" x14ac:dyDescent="0.2">
      <c r="A124" s="56" t="s">
        <v>217</v>
      </c>
      <c r="B124" s="46" t="s">
        <v>654</v>
      </c>
      <c r="C124" s="41" t="s">
        <v>76</v>
      </c>
      <c r="D124" s="42">
        <v>16</v>
      </c>
      <c r="E124" s="43">
        <v>100</v>
      </c>
      <c r="F124" s="35">
        <f t="shared" si="16"/>
        <v>1600</v>
      </c>
      <c r="H124" s="82"/>
    </row>
    <row r="125" spans="1:8" ht="18" customHeight="1" x14ac:dyDescent="0.2">
      <c r="A125" s="241" t="s">
        <v>104</v>
      </c>
      <c r="B125" s="242"/>
      <c r="C125" s="242"/>
      <c r="D125" s="242"/>
      <c r="E125" s="243"/>
      <c r="F125" s="38">
        <f>SUM(F119:F124)</f>
        <v>33000</v>
      </c>
      <c r="G125" s="10"/>
      <c r="H125" s="82"/>
    </row>
    <row r="126" spans="1:8" ht="18" customHeight="1" x14ac:dyDescent="0.2">
      <c r="A126" s="241" t="s">
        <v>111</v>
      </c>
      <c r="B126" s="242"/>
      <c r="C126" s="242"/>
      <c r="D126" s="242"/>
      <c r="E126" s="243"/>
      <c r="F126" s="38">
        <f>F125+F118+F112+F108</f>
        <v>233280</v>
      </c>
      <c r="H126" s="82"/>
    </row>
    <row r="127" spans="1:8" ht="18" customHeight="1" x14ac:dyDescent="0.2">
      <c r="A127" s="24"/>
      <c r="B127" s="25" t="s">
        <v>218</v>
      </c>
      <c r="C127" s="26"/>
      <c r="D127" s="27"/>
      <c r="E127" s="28"/>
      <c r="F127" s="35"/>
      <c r="H127" s="82"/>
    </row>
    <row r="128" spans="1:8" ht="18" customHeight="1" x14ac:dyDescent="0.2">
      <c r="A128" s="30"/>
      <c r="B128" s="31" t="s">
        <v>219</v>
      </c>
      <c r="C128" s="32"/>
      <c r="D128" s="33"/>
      <c r="E128" s="34"/>
      <c r="F128" s="35"/>
      <c r="H128" s="82"/>
    </row>
    <row r="129" spans="1:8" ht="18" customHeight="1" x14ac:dyDescent="0.2">
      <c r="A129" s="56" t="s">
        <v>220</v>
      </c>
      <c r="B129" s="55" t="s">
        <v>299</v>
      </c>
      <c r="C129" s="32" t="s">
        <v>76</v>
      </c>
      <c r="D129" s="42">
        <v>1</v>
      </c>
      <c r="E129" s="34">
        <v>20000</v>
      </c>
      <c r="F129" s="35">
        <f t="shared" ref="F129:F157" si="17">+E129*D129</f>
        <v>20000</v>
      </c>
      <c r="G129" s="43"/>
      <c r="H129" s="82"/>
    </row>
    <row r="130" spans="1:8" ht="18" customHeight="1" x14ac:dyDescent="0.2">
      <c r="A130" s="56" t="s">
        <v>221</v>
      </c>
      <c r="B130" s="39" t="s">
        <v>276</v>
      </c>
      <c r="C130" s="32" t="s">
        <v>76</v>
      </c>
      <c r="D130" s="42">
        <v>1</v>
      </c>
      <c r="E130" s="34">
        <v>1000</v>
      </c>
      <c r="F130" s="35">
        <f t="shared" si="17"/>
        <v>1000</v>
      </c>
      <c r="G130" s="43"/>
      <c r="H130" s="82"/>
    </row>
    <row r="131" spans="1:8" ht="18" customHeight="1" x14ac:dyDescent="0.2">
      <c r="A131" s="56" t="s">
        <v>222</v>
      </c>
      <c r="B131" s="39" t="s">
        <v>315</v>
      </c>
      <c r="C131" s="32" t="s">
        <v>76</v>
      </c>
      <c r="D131" s="42">
        <v>1</v>
      </c>
      <c r="E131" s="34">
        <v>10000</v>
      </c>
      <c r="F131" s="35">
        <f t="shared" si="17"/>
        <v>10000</v>
      </c>
      <c r="G131" s="43"/>
      <c r="H131" s="82"/>
    </row>
    <row r="132" spans="1:8" ht="18" customHeight="1" x14ac:dyDescent="0.2">
      <c r="A132" s="56" t="s">
        <v>223</v>
      </c>
      <c r="B132" s="39" t="s">
        <v>277</v>
      </c>
      <c r="C132" s="32" t="s">
        <v>76</v>
      </c>
      <c r="D132" s="42">
        <v>1</v>
      </c>
      <c r="E132" s="34">
        <v>350</v>
      </c>
      <c r="F132" s="35">
        <f t="shared" si="17"/>
        <v>350</v>
      </c>
      <c r="G132" s="43"/>
      <c r="H132" s="82"/>
    </row>
    <row r="133" spans="1:8" ht="18" customHeight="1" x14ac:dyDescent="0.2">
      <c r="A133" s="56" t="s">
        <v>224</v>
      </c>
      <c r="B133" s="48" t="s">
        <v>123</v>
      </c>
      <c r="C133" s="32" t="s">
        <v>76</v>
      </c>
      <c r="D133" s="42">
        <v>8</v>
      </c>
      <c r="E133" s="34">
        <v>1200</v>
      </c>
      <c r="F133" s="35">
        <f t="shared" si="17"/>
        <v>9600</v>
      </c>
      <c r="G133" s="43"/>
      <c r="H133" s="82"/>
    </row>
    <row r="134" spans="1:8" ht="18" customHeight="1" x14ac:dyDescent="0.2">
      <c r="A134" s="56" t="s">
        <v>225</v>
      </c>
      <c r="B134" s="48" t="s">
        <v>656</v>
      </c>
      <c r="C134" s="32" t="s">
        <v>1</v>
      </c>
      <c r="D134" s="42">
        <v>350</v>
      </c>
      <c r="E134" s="34">
        <v>130</v>
      </c>
      <c r="F134" s="35">
        <f t="shared" si="17"/>
        <v>45500</v>
      </c>
      <c r="G134" s="43"/>
      <c r="H134" s="82"/>
    </row>
    <row r="135" spans="1:8" ht="18" customHeight="1" x14ac:dyDescent="0.2">
      <c r="A135" s="56" t="s">
        <v>230</v>
      </c>
      <c r="B135" s="39" t="s">
        <v>278</v>
      </c>
      <c r="C135" s="32" t="s">
        <v>76</v>
      </c>
      <c r="D135" s="42">
        <v>4</v>
      </c>
      <c r="E135" s="34">
        <v>1500</v>
      </c>
      <c r="F135" s="35">
        <f t="shared" si="17"/>
        <v>6000</v>
      </c>
      <c r="G135" s="43"/>
      <c r="H135" s="82"/>
    </row>
    <row r="136" spans="1:8" ht="18" customHeight="1" x14ac:dyDescent="0.2">
      <c r="A136" s="56" t="s">
        <v>231</v>
      </c>
      <c r="B136" s="39" t="s">
        <v>68</v>
      </c>
      <c r="C136" s="32" t="s">
        <v>76</v>
      </c>
      <c r="D136" s="42">
        <v>14</v>
      </c>
      <c r="E136" s="34">
        <v>500</v>
      </c>
      <c r="F136" s="35">
        <f t="shared" si="17"/>
        <v>7000</v>
      </c>
      <c r="G136" s="43"/>
      <c r="H136" s="82"/>
    </row>
    <row r="137" spans="1:8" ht="18" customHeight="1" x14ac:dyDescent="0.2">
      <c r="A137" s="56" t="s">
        <v>655</v>
      </c>
      <c r="B137" s="39" t="s">
        <v>12</v>
      </c>
      <c r="C137" s="41" t="s">
        <v>76</v>
      </c>
      <c r="D137" s="42">
        <v>2</v>
      </c>
      <c r="E137" s="34">
        <v>350</v>
      </c>
      <c r="F137" s="35">
        <f t="shared" si="17"/>
        <v>700</v>
      </c>
      <c r="G137" s="43"/>
      <c r="H137" s="82"/>
    </row>
    <row r="138" spans="1:8" ht="15.95" customHeight="1" x14ac:dyDescent="0.2">
      <c r="A138" s="56" t="s">
        <v>232</v>
      </c>
      <c r="B138" s="46" t="s">
        <v>90</v>
      </c>
      <c r="C138" s="41" t="s">
        <v>76</v>
      </c>
      <c r="D138" s="42">
        <v>4</v>
      </c>
      <c r="E138" s="43">
        <v>250</v>
      </c>
      <c r="F138" s="35">
        <f t="shared" si="17"/>
        <v>1000</v>
      </c>
      <c r="G138" s="43"/>
      <c r="H138" s="82"/>
    </row>
    <row r="139" spans="1:8" ht="18" customHeight="1" x14ac:dyDescent="0.2">
      <c r="A139" s="30"/>
      <c r="B139" s="31" t="s">
        <v>233</v>
      </c>
      <c r="C139" s="32"/>
      <c r="D139" s="33"/>
      <c r="E139" s="34"/>
      <c r="F139" s="35"/>
      <c r="G139" s="43"/>
      <c r="H139" s="82"/>
    </row>
    <row r="140" spans="1:8" ht="18" customHeight="1" x14ac:dyDescent="0.2">
      <c r="A140" s="56" t="s">
        <v>234</v>
      </c>
      <c r="B140" s="39" t="s">
        <v>124</v>
      </c>
      <c r="C140" s="32" t="s">
        <v>76</v>
      </c>
      <c r="D140" s="42">
        <v>17</v>
      </c>
      <c r="E140" s="34">
        <v>100</v>
      </c>
      <c r="F140" s="35">
        <f t="shared" si="17"/>
        <v>1700</v>
      </c>
      <c r="G140" s="43"/>
      <c r="H140" s="82"/>
    </row>
    <row r="141" spans="1:8" ht="18" customHeight="1" x14ac:dyDescent="0.2">
      <c r="A141" s="56" t="s">
        <v>235</v>
      </c>
      <c r="B141" s="39" t="s">
        <v>316</v>
      </c>
      <c r="C141" s="32" t="s">
        <v>76</v>
      </c>
      <c r="D141" s="42">
        <v>13</v>
      </c>
      <c r="E141" s="34">
        <v>110</v>
      </c>
      <c r="F141" s="35">
        <f t="shared" si="17"/>
        <v>1430</v>
      </c>
      <c r="G141" s="43"/>
      <c r="H141" s="82"/>
    </row>
    <row r="142" spans="1:8" ht="18" customHeight="1" x14ac:dyDescent="0.2">
      <c r="A142" s="56" t="s">
        <v>236</v>
      </c>
      <c r="B142" s="39" t="s">
        <v>317</v>
      </c>
      <c r="C142" s="32" t="s">
        <v>76</v>
      </c>
      <c r="D142" s="42">
        <v>2</v>
      </c>
      <c r="E142" s="34">
        <v>110</v>
      </c>
      <c r="F142" s="35">
        <f t="shared" si="17"/>
        <v>220</v>
      </c>
      <c r="G142" s="43"/>
      <c r="H142" s="82"/>
    </row>
    <row r="143" spans="1:8" ht="18" customHeight="1" x14ac:dyDescent="0.2">
      <c r="A143" s="56" t="s">
        <v>237</v>
      </c>
      <c r="B143" s="39" t="s">
        <v>318</v>
      </c>
      <c r="C143" s="32" t="s">
        <v>76</v>
      </c>
      <c r="D143" s="42">
        <v>2</v>
      </c>
      <c r="E143" s="34">
        <v>100</v>
      </c>
      <c r="F143" s="35">
        <f t="shared" si="17"/>
        <v>200</v>
      </c>
      <c r="G143" s="43"/>
      <c r="H143" s="82"/>
    </row>
    <row r="144" spans="1:8" ht="18" customHeight="1" x14ac:dyDescent="0.2">
      <c r="A144" s="56" t="s">
        <v>238</v>
      </c>
      <c r="B144" s="39" t="s">
        <v>294</v>
      </c>
      <c r="C144" s="32" t="s">
        <v>76</v>
      </c>
      <c r="D144" s="42">
        <v>31</v>
      </c>
      <c r="E144" s="34">
        <v>60</v>
      </c>
      <c r="F144" s="35">
        <f t="shared" si="17"/>
        <v>1860</v>
      </c>
      <c r="G144" s="43"/>
      <c r="H144" s="82"/>
    </row>
    <row r="145" spans="1:8" ht="18" customHeight="1" x14ac:dyDescent="0.2">
      <c r="A145" s="30"/>
      <c r="B145" s="31" t="s">
        <v>239</v>
      </c>
      <c r="C145" s="32"/>
      <c r="D145" s="58"/>
      <c r="E145" s="34"/>
      <c r="F145" s="35"/>
      <c r="G145" s="43"/>
      <c r="H145" s="82"/>
    </row>
    <row r="146" spans="1:8" ht="18" customHeight="1" x14ac:dyDescent="0.2">
      <c r="A146" s="56" t="s">
        <v>240</v>
      </c>
      <c r="B146" s="39" t="s">
        <v>280</v>
      </c>
      <c r="C146" s="32" t="s">
        <v>76</v>
      </c>
      <c r="D146" s="42">
        <v>35</v>
      </c>
      <c r="E146" s="34">
        <v>90</v>
      </c>
      <c r="F146" s="35">
        <f t="shared" si="17"/>
        <v>3150</v>
      </c>
      <c r="G146" s="43"/>
      <c r="H146" s="82"/>
    </row>
    <row r="147" spans="1:8" s="83" customFormat="1" ht="18" customHeight="1" x14ac:dyDescent="0.2">
      <c r="A147" s="56" t="s">
        <v>241</v>
      </c>
      <c r="B147" s="55" t="s">
        <v>334</v>
      </c>
      <c r="C147" s="59" t="s">
        <v>76</v>
      </c>
      <c r="D147" s="42">
        <v>1</v>
      </c>
      <c r="E147" s="60">
        <v>2000</v>
      </c>
      <c r="F147" s="35">
        <f t="shared" si="17"/>
        <v>2000</v>
      </c>
      <c r="G147" s="68"/>
      <c r="H147" s="82"/>
    </row>
    <row r="148" spans="1:8" ht="18" customHeight="1" x14ac:dyDescent="0.2">
      <c r="A148" s="56" t="s">
        <v>242</v>
      </c>
      <c r="B148" s="39" t="s">
        <v>356</v>
      </c>
      <c r="C148" s="32" t="s">
        <v>76</v>
      </c>
      <c r="D148" s="42">
        <v>14</v>
      </c>
      <c r="E148" s="34">
        <v>120</v>
      </c>
      <c r="F148" s="35">
        <f t="shared" si="17"/>
        <v>1680</v>
      </c>
      <c r="G148" s="43"/>
      <c r="H148" s="82"/>
    </row>
    <row r="149" spans="1:8" ht="18" customHeight="1" x14ac:dyDescent="0.2">
      <c r="A149" s="30"/>
      <c r="B149" s="31" t="s">
        <v>244</v>
      </c>
      <c r="C149" s="32"/>
      <c r="D149" s="33"/>
      <c r="E149" s="34"/>
      <c r="F149" s="35"/>
      <c r="G149" s="43"/>
      <c r="H149" s="82"/>
    </row>
    <row r="150" spans="1:8" s="83" customFormat="1" ht="18" customHeight="1" x14ac:dyDescent="0.2">
      <c r="A150" s="61" t="s">
        <v>15</v>
      </c>
      <c r="B150" s="55" t="s">
        <v>657</v>
      </c>
      <c r="C150" s="59" t="s">
        <v>76</v>
      </c>
      <c r="D150" s="42">
        <v>6</v>
      </c>
      <c r="E150" s="60">
        <v>190</v>
      </c>
      <c r="F150" s="35">
        <f t="shared" si="17"/>
        <v>1140</v>
      </c>
      <c r="G150" s="68"/>
      <c r="H150" s="82"/>
    </row>
    <row r="151" spans="1:8" s="83" customFormat="1" ht="18" customHeight="1" x14ac:dyDescent="0.2">
      <c r="A151" s="61" t="s">
        <v>16</v>
      </c>
      <c r="B151" s="55" t="s">
        <v>658</v>
      </c>
      <c r="C151" s="59" t="s">
        <v>76</v>
      </c>
      <c r="D151" s="42">
        <v>32</v>
      </c>
      <c r="E151" s="60">
        <v>120</v>
      </c>
      <c r="F151" s="35">
        <f t="shared" si="17"/>
        <v>3840</v>
      </c>
      <c r="G151" s="68"/>
      <c r="H151" s="82"/>
    </row>
    <row r="152" spans="1:8" s="83" customFormat="1" ht="18" customHeight="1" x14ac:dyDescent="0.2">
      <c r="A152" s="61" t="s">
        <v>17</v>
      </c>
      <c r="B152" s="55" t="s">
        <v>659</v>
      </c>
      <c r="C152" s="59" t="s">
        <v>76</v>
      </c>
      <c r="D152" s="42">
        <v>32</v>
      </c>
      <c r="E152" s="60">
        <v>300</v>
      </c>
      <c r="F152" s="35">
        <f t="shared" si="17"/>
        <v>9600</v>
      </c>
      <c r="G152" s="68"/>
      <c r="H152" s="82"/>
    </row>
    <row r="153" spans="1:8" s="83" customFormat="1" ht="18" customHeight="1" x14ac:dyDescent="0.2">
      <c r="A153" s="61" t="s">
        <v>73</v>
      </c>
      <c r="B153" s="55" t="s">
        <v>303</v>
      </c>
      <c r="C153" s="59" t="s">
        <v>76</v>
      </c>
      <c r="D153" s="42">
        <v>15</v>
      </c>
      <c r="E153" s="60">
        <v>300</v>
      </c>
      <c r="F153" s="35">
        <f t="shared" si="17"/>
        <v>4500</v>
      </c>
      <c r="G153" s="68"/>
      <c r="H153" s="82"/>
    </row>
    <row r="154" spans="1:8" s="83" customFormat="1" ht="18" customHeight="1" x14ac:dyDescent="0.2">
      <c r="A154" s="61" t="s">
        <v>38</v>
      </c>
      <c r="B154" s="55" t="s">
        <v>357</v>
      </c>
      <c r="C154" s="59" t="s">
        <v>76</v>
      </c>
      <c r="D154" s="42">
        <v>1</v>
      </c>
      <c r="E154" s="60">
        <v>700</v>
      </c>
      <c r="F154" s="35">
        <f t="shared" si="17"/>
        <v>700</v>
      </c>
      <c r="G154" s="68"/>
      <c r="H154" s="82"/>
    </row>
    <row r="155" spans="1:8" s="83" customFormat="1" ht="18" customHeight="1" x14ac:dyDescent="0.2">
      <c r="A155" s="61" t="s">
        <v>346</v>
      </c>
      <c r="B155" s="55" t="s">
        <v>283</v>
      </c>
      <c r="C155" s="59" t="s">
        <v>76</v>
      </c>
      <c r="D155" s="42">
        <v>6</v>
      </c>
      <c r="E155" s="60">
        <v>700</v>
      </c>
      <c r="F155" s="35">
        <f t="shared" si="17"/>
        <v>4200</v>
      </c>
      <c r="G155" s="68"/>
      <c r="H155" s="82"/>
    </row>
    <row r="156" spans="1:8" ht="18" customHeight="1" x14ac:dyDescent="0.2">
      <c r="A156" s="30"/>
      <c r="B156" s="31" t="s">
        <v>245</v>
      </c>
      <c r="C156" s="32"/>
      <c r="D156" s="33"/>
      <c r="E156" s="34"/>
      <c r="F156" s="35"/>
      <c r="G156" s="43"/>
      <c r="H156" s="82"/>
    </row>
    <row r="157" spans="1:8" ht="18" customHeight="1" x14ac:dyDescent="0.2">
      <c r="A157" s="56" t="s">
        <v>18</v>
      </c>
      <c r="B157" s="39" t="s">
        <v>14</v>
      </c>
      <c r="C157" s="32" t="s">
        <v>76</v>
      </c>
      <c r="D157" s="42">
        <v>1</v>
      </c>
      <c r="E157" s="34">
        <v>1200</v>
      </c>
      <c r="F157" s="35">
        <f t="shared" si="17"/>
        <v>1200</v>
      </c>
      <c r="G157" s="43"/>
      <c r="H157" s="82"/>
    </row>
    <row r="158" spans="1:8" s="5" customFormat="1" ht="17.100000000000001" customHeight="1" x14ac:dyDescent="0.2">
      <c r="A158" s="241" t="s">
        <v>112</v>
      </c>
      <c r="B158" s="242"/>
      <c r="C158" s="242"/>
      <c r="D158" s="242"/>
      <c r="E158" s="243"/>
      <c r="F158" s="38">
        <f>SUM(F127:F157)</f>
        <v>138570</v>
      </c>
      <c r="H158" s="82"/>
    </row>
    <row r="159" spans="1:8" ht="17.100000000000001" customHeight="1" x14ac:dyDescent="0.2">
      <c r="A159" s="24"/>
      <c r="B159" s="25" t="s">
        <v>44</v>
      </c>
      <c r="C159" s="32"/>
      <c r="D159" s="33"/>
      <c r="E159" s="34"/>
      <c r="F159" s="35"/>
      <c r="H159" s="82"/>
    </row>
    <row r="160" spans="1:8" ht="17.100000000000001" customHeight="1" x14ac:dyDescent="0.2">
      <c r="A160" s="56"/>
      <c r="B160" s="31" t="s">
        <v>20</v>
      </c>
      <c r="C160" s="32"/>
      <c r="D160" s="37"/>
      <c r="E160" s="34"/>
      <c r="F160" s="35"/>
      <c r="H160" s="82"/>
    </row>
    <row r="161" spans="1:8" ht="17.100000000000001" customHeight="1" x14ac:dyDescent="0.2">
      <c r="A161" s="56" t="s">
        <v>21</v>
      </c>
      <c r="B161" s="39" t="s">
        <v>284</v>
      </c>
      <c r="C161" s="32" t="s">
        <v>76</v>
      </c>
      <c r="D161" s="42">
        <v>1</v>
      </c>
      <c r="E161" s="34">
        <v>40000</v>
      </c>
      <c r="F161" s="35">
        <f t="shared" ref="F161:F185" si="18">+E161*D161</f>
        <v>40000</v>
      </c>
      <c r="H161" s="82"/>
    </row>
    <row r="162" spans="1:8" s="14" customFormat="1" x14ac:dyDescent="0.2">
      <c r="A162" s="56" t="s">
        <v>22</v>
      </c>
      <c r="B162" s="39" t="s">
        <v>660</v>
      </c>
      <c r="C162" s="32" t="s">
        <v>76</v>
      </c>
      <c r="D162" s="42">
        <v>1</v>
      </c>
      <c r="E162" s="34">
        <v>30000</v>
      </c>
      <c r="F162" s="35">
        <f t="shared" si="18"/>
        <v>30000</v>
      </c>
      <c r="G162" s="5"/>
      <c r="H162" s="82"/>
    </row>
    <row r="163" spans="1:8" s="14" customFormat="1" ht="24" x14ac:dyDescent="0.2">
      <c r="A163" s="56" t="s">
        <v>23</v>
      </c>
      <c r="B163" s="47" t="s">
        <v>446</v>
      </c>
      <c r="C163" s="32" t="s">
        <v>1</v>
      </c>
      <c r="D163" s="42">
        <v>120</v>
      </c>
      <c r="E163" s="34">
        <v>75</v>
      </c>
      <c r="F163" s="35">
        <f>+E163*D163</f>
        <v>9000</v>
      </c>
      <c r="G163" s="5"/>
      <c r="H163" s="82"/>
    </row>
    <row r="164" spans="1:8" x14ac:dyDescent="0.2">
      <c r="A164" s="56" t="s">
        <v>24</v>
      </c>
      <c r="B164" s="39" t="s">
        <v>135</v>
      </c>
      <c r="C164" s="32" t="s">
        <v>76</v>
      </c>
      <c r="D164" s="42">
        <v>3</v>
      </c>
      <c r="E164" s="34">
        <v>300</v>
      </c>
      <c r="F164" s="35">
        <f t="shared" si="18"/>
        <v>900</v>
      </c>
      <c r="H164" s="82"/>
    </row>
    <row r="165" spans="1:8" x14ac:dyDescent="0.2">
      <c r="A165" s="56" t="s">
        <v>408</v>
      </c>
      <c r="B165" s="39" t="s">
        <v>134</v>
      </c>
      <c r="C165" s="32" t="s">
        <v>76</v>
      </c>
      <c r="D165" s="42">
        <v>3</v>
      </c>
      <c r="E165" s="34">
        <v>150</v>
      </c>
      <c r="F165" s="35">
        <f t="shared" si="18"/>
        <v>450</v>
      </c>
      <c r="H165" s="82"/>
    </row>
    <row r="166" spans="1:8" x14ac:dyDescent="0.2">
      <c r="A166" s="56"/>
      <c r="B166" s="31" t="s">
        <v>285</v>
      </c>
      <c r="C166" s="32"/>
      <c r="D166" s="37"/>
      <c r="E166" s="34"/>
      <c r="F166" s="35"/>
      <c r="H166" s="82"/>
    </row>
    <row r="167" spans="1:8" s="14" customFormat="1" ht="17.25" customHeight="1" x14ac:dyDescent="0.25">
      <c r="A167" s="56" t="s">
        <v>25</v>
      </c>
      <c r="B167" s="237" t="s">
        <v>666</v>
      </c>
      <c r="C167" s="11"/>
      <c r="D167" s="37"/>
      <c r="E167" s="34"/>
      <c r="F167" s="35"/>
      <c r="G167" s="5"/>
      <c r="H167" s="82"/>
    </row>
    <row r="168" spans="1:8" s="14" customFormat="1" ht="15" x14ac:dyDescent="0.25">
      <c r="A168" s="56"/>
      <c r="B168" s="47" t="s">
        <v>397</v>
      </c>
      <c r="C168" s="11" t="s">
        <v>76</v>
      </c>
      <c r="D168" s="42">
        <v>2</v>
      </c>
      <c r="E168" s="34">
        <v>600</v>
      </c>
      <c r="F168" s="35">
        <f t="shared" si="18"/>
        <v>1200</v>
      </c>
      <c r="G168" s="5"/>
      <c r="H168" s="82"/>
    </row>
    <row r="169" spans="1:8" s="14" customFormat="1" ht="15" x14ac:dyDescent="0.25">
      <c r="A169" s="56"/>
      <c r="B169" s="47" t="s">
        <v>398</v>
      </c>
      <c r="C169" s="11" t="s">
        <v>76</v>
      </c>
      <c r="D169" s="42">
        <v>4</v>
      </c>
      <c r="E169" s="34">
        <v>850</v>
      </c>
      <c r="F169" s="35">
        <f t="shared" si="18"/>
        <v>3400</v>
      </c>
      <c r="G169" s="5"/>
      <c r="H169" s="82"/>
    </row>
    <row r="170" spans="1:8" s="14" customFormat="1" ht="15" x14ac:dyDescent="0.25">
      <c r="A170" s="56"/>
      <c r="B170" s="47" t="s">
        <v>399</v>
      </c>
      <c r="C170" s="11" t="s">
        <v>76</v>
      </c>
      <c r="D170" s="42">
        <v>5</v>
      </c>
      <c r="E170" s="34">
        <v>1200</v>
      </c>
      <c r="F170" s="35">
        <f t="shared" si="18"/>
        <v>6000</v>
      </c>
      <c r="G170" s="5"/>
      <c r="H170" s="82"/>
    </row>
    <row r="171" spans="1:8" s="14" customFormat="1" x14ac:dyDescent="0.2">
      <c r="A171" s="56" t="s">
        <v>45</v>
      </c>
      <c r="B171" s="47" t="s">
        <v>614</v>
      </c>
      <c r="C171" s="32" t="s">
        <v>76</v>
      </c>
      <c r="D171" s="42">
        <v>5</v>
      </c>
      <c r="E171" s="34">
        <v>350</v>
      </c>
      <c r="F171" s="35">
        <f t="shared" si="18"/>
        <v>1750</v>
      </c>
      <c r="G171" s="5"/>
      <c r="H171" s="82"/>
    </row>
    <row r="172" spans="1:8" s="14" customFormat="1" x14ac:dyDescent="0.2">
      <c r="A172" s="56" t="s">
        <v>246</v>
      </c>
      <c r="B172" s="47" t="s">
        <v>615</v>
      </c>
      <c r="C172" s="32" t="s">
        <v>1</v>
      </c>
      <c r="D172" s="42">
        <v>100</v>
      </c>
      <c r="E172" s="34">
        <v>70</v>
      </c>
      <c r="F172" s="35">
        <f t="shared" si="18"/>
        <v>7000</v>
      </c>
      <c r="G172" s="5"/>
      <c r="H172" s="82"/>
    </row>
    <row r="173" spans="1:8" s="14" customFormat="1" x14ac:dyDescent="0.2">
      <c r="A173" s="56" t="s">
        <v>33</v>
      </c>
      <c r="B173" s="47" t="s">
        <v>616</v>
      </c>
      <c r="C173" s="32" t="s">
        <v>1</v>
      </c>
      <c r="D173" s="42">
        <v>20</v>
      </c>
      <c r="E173" s="34">
        <v>50</v>
      </c>
      <c r="F173" s="35">
        <f t="shared" si="18"/>
        <v>1000</v>
      </c>
      <c r="G173" s="5"/>
      <c r="H173" s="82"/>
    </row>
    <row r="174" spans="1:8" s="14" customFormat="1" x14ac:dyDescent="0.2">
      <c r="A174" s="56" t="s">
        <v>46</v>
      </c>
      <c r="B174" s="47" t="s">
        <v>451</v>
      </c>
      <c r="C174" s="32" t="s">
        <v>1</v>
      </c>
      <c r="D174" s="42">
        <v>55</v>
      </c>
      <c r="E174" s="34">
        <v>120</v>
      </c>
      <c r="F174" s="35">
        <f t="shared" si="18"/>
        <v>6600</v>
      </c>
      <c r="G174" s="5"/>
      <c r="H174" s="82"/>
    </row>
    <row r="175" spans="1:8" s="14" customFormat="1" x14ac:dyDescent="0.2">
      <c r="A175" s="56" t="s">
        <v>69</v>
      </c>
      <c r="B175" s="47" t="s">
        <v>85</v>
      </c>
      <c r="C175" s="32" t="s">
        <v>76</v>
      </c>
      <c r="D175" s="42">
        <v>12</v>
      </c>
      <c r="E175" s="34">
        <v>200</v>
      </c>
      <c r="F175" s="35">
        <f t="shared" si="18"/>
        <v>2400</v>
      </c>
      <c r="G175" s="5"/>
      <c r="H175" s="82"/>
    </row>
    <row r="176" spans="1:8" s="14" customFormat="1" x14ac:dyDescent="0.2">
      <c r="A176" s="56" t="s">
        <v>74</v>
      </c>
      <c r="B176" s="47" t="s">
        <v>286</v>
      </c>
      <c r="C176" s="32" t="s">
        <v>76</v>
      </c>
      <c r="D176" s="42">
        <v>12</v>
      </c>
      <c r="E176" s="34">
        <v>150</v>
      </c>
      <c r="F176" s="35">
        <f t="shared" si="18"/>
        <v>1800</v>
      </c>
      <c r="G176" s="5"/>
      <c r="H176" s="82"/>
    </row>
    <row r="177" spans="1:8" s="14" customFormat="1" x14ac:dyDescent="0.2">
      <c r="A177" s="56" t="s">
        <v>383</v>
      </c>
      <c r="B177" s="39" t="s">
        <v>287</v>
      </c>
      <c r="C177" s="32" t="s">
        <v>76</v>
      </c>
      <c r="D177" s="42">
        <v>4</v>
      </c>
      <c r="E177" s="34">
        <v>200</v>
      </c>
      <c r="F177" s="35">
        <f t="shared" si="18"/>
        <v>800</v>
      </c>
      <c r="G177" s="5"/>
      <c r="H177" s="82"/>
    </row>
    <row r="178" spans="1:8" s="14" customFormat="1" x14ac:dyDescent="0.2">
      <c r="A178" s="56" t="s">
        <v>384</v>
      </c>
      <c r="B178" s="238" t="s">
        <v>667</v>
      </c>
      <c r="C178" s="32" t="s">
        <v>76</v>
      </c>
      <c r="D178" s="42">
        <v>2</v>
      </c>
      <c r="E178" s="43">
        <v>150</v>
      </c>
      <c r="F178" s="35">
        <f t="shared" si="18"/>
        <v>300</v>
      </c>
      <c r="G178" s="5"/>
      <c r="H178" s="82"/>
    </row>
    <row r="179" spans="1:8" ht="17.100000000000001" customHeight="1" x14ac:dyDescent="0.2">
      <c r="A179" s="56"/>
      <c r="B179" s="31" t="s">
        <v>47</v>
      </c>
      <c r="C179" s="32"/>
      <c r="D179" s="37"/>
      <c r="E179" s="34"/>
      <c r="F179" s="35"/>
      <c r="H179" s="82"/>
    </row>
    <row r="180" spans="1:8" ht="17.100000000000001" customHeight="1" x14ac:dyDescent="0.2">
      <c r="A180" s="56" t="s">
        <v>70</v>
      </c>
      <c r="B180" s="39" t="s">
        <v>300</v>
      </c>
      <c r="C180" s="32" t="s">
        <v>76</v>
      </c>
      <c r="D180" s="42">
        <v>2</v>
      </c>
      <c r="E180" s="34">
        <v>1000</v>
      </c>
      <c r="F180" s="35">
        <f t="shared" si="18"/>
        <v>2000</v>
      </c>
      <c r="H180" s="82"/>
    </row>
    <row r="181" spans="1:8" ht="17.100000000000001" customHeight="1" x14ac:dyDescent="0.2">
      <c r="A181" s="56" t="s">
        <v>48</v>
      </c>
      <c r="B181" s="39" t="s">
        <v>333</v>
      </c>
      <c r="C181" s="32" t="s">
        <v>76</v>
      </c>
      <c r="D181" s="42">
        <v>2</v>
      </c>
      <c r="E181" s="34">
        <v>1000</v>
      </c>
      <c r="F181" s="35">
        <f t="shared" si="18"/>
        <v>2000</v>
      </c>
      <c r="H181" s="82"/>
    </row>
    <row r="182" spans="1:8" ht="17.100000000000001" customHeight="1" x14ac:dyDescent="0.2">
      <c r="A182" s="56" t="s">
        <v>347</v>
      </c>
      <c r="B182" s="39" t="s">
        <v>413</v>
      </c>
      <c r="C182" s="32" t="s">
        <v>76</v>
      </c>
      <c r="D182" s="42">
        <v>1</v>
      </c>
      <c r="E182" s="34">
        <v>4000</v>
      </c>
      <c r="F182" s="35">
        <f t="shared" si="18"/>
        <v>4000</v>
      </c>
      <c r="H182" s="82"/>
    </row>
    <row r="183" spans="1:8" ht="17.100000000000001" customHeight="1" x14ac:dyDescent="0.2">
      <c r="A183" s="56" t="s">
        <v>49</v>
      </c>
      <c r="B183" s="39" t="s">
        <v>0</v>
      </c>
      <c r="C183" s="32" t="s">
        <v>76</v>
      </c>
      <c r="D183" s="42">
        <v>2</v>
      </c>
      <c r="E183" s="34">
        <v>1000</v>
      </c>
      <c r="F183" s="35">
        <f t="shared" si="18"/>
        <v>2000</v>
      </c>
      <c r="H183" s="82"/>
    </row>
    <row r="184" spans="1:8" ht="17.100000000000001" customHeight="1" x14ac:dyDescent="0.2">
      <c r="A184" s="56" t="s">
        <v>50</v>
      </c>
      <c r="B184" s="39" t="s">
        <v>28</v>
      </c>
      <c r="C184" s="32" t="s">
        <v>76</v>
      </c>
      <c r="D184" s="42">
        <v>12</v>
      </c>
      <c r="E184" s="34">
        <v>800</v>
      </c>
      <c r="F184" s="35">
        <f t="shared" si="18"/>
        <v>9600</v>
      </c>
      <c r="H184" s="82"/>
    </row>
    <row r="185" spans="1:8" ht="17.100000000000001" customHeight="1" x14ac:dyDescent="0.2">
      <c r="A185" s="56" t="s">
        <v>51</v>
      </c>
      <c r="B185" s="39" t="s">
        <v>94</v>
      </c>
      <c r="C185" s="32" t="s">
        <v>76</v>
      </c>
      <c r="D185" s="42">
        <v>4</v>
      </c>
      <c r="E185" s="34">
        <v>1000</v>
      </c>
      <c r="F185" s="35">
        <f t="shared" si="18"/>
        <v>4000</v>
      </c>
      <c r="H185" s="82"/>
    </row>
    <row r="186" spans="1:8" ht="17.100000000000001" customHeight="1" x14ac:dyDescent="0.2">
      <c r="A186" s="56"/>
      <c r="B186" s="62" t="s">
        <v>56</v>
      </c>
      <c r="C186" s="41"/>
      <c r="D186" s="42"/>
      <c r="E186" s="43"/>
      <c r="F186" s="35"/>
      <c r="H186" s="82"/>
    </row>
    <row r="187" spans="1:8" ht="17.100000000000001" customHeight="1" x14ac:dyDescent="0.2">
      <c r="A187" s="56" t="s">
        <v>26</v>
      </c>
      <c r="B187" s="63" t="s">
        <v>86</v>
      </c>
      <c r="C187" s="32" t="s">
        <v>76</v>
      </c>
      <c r="D187" s="42">
        <v>6</v>
      </c>
      <c r="E187" s="34">
        <v>900</v>
      </c>
      <c r="F187" s="35">
        <f>+E187*D187</f>
        <v>5400</v>
      </c>
      <c r="H187" s="82"/>
    </row>
    <row r="188" spans="1:8" s="83" customFormat="1" ht="17.100000000000001" customHeight="1" x14ac:dyDescent="0.2">
      <c r="A188" s="56" t="s">
        <v>27</v>
      </c>
      <c r="B188" s="64" t="s">
        <v>301</v>
      </c>
      <c r="C188" s="59" t="s">
        <v>76</v>
      </c>
      <c r="D188" s="42">
        <v>2</v>
      </c>
      <c r="E188" s="60">
        <v>950</v>
      </c>
      <c r="F188" s="35">
        <f t="shared" ref="F188:F191" si="19">+E188*D188</f>
        <v>1900</v>
      </c>
      <c r="G188" s="5"/>
      <c r="H188" s="82"/>
    </row>
    <row r="189" spans="1:8" s="5" customFormat="1" ht="18" customHeight="1" x14ac:dyDescent="0.2">
      <c r="A189" s="56" t="s">
        <v>249</v>
      </c>
      <c r="B189" s="63" t="s">
        <v>81</v>
      </c>
      <c r="C189" s="32" t="s">
        <v>76</v>
      </c>
      <c r="D189" s="37">
        <v>1</v>
      </c>
      <c r="E189" s="34">
        <v>3500</v>
      </c>
      <c r="F189" s="35">
        <f t="shared" si="19"/>
        <v>3500</v>
      </c>
      <c r="H189" s="82"/>
    </row>
    <row r="190" spans="1:8" s="5" customFormat="1" ht="18" customHeight="1" x14ac:dyDescent="0.2">
      <c r="A190" s="56" t="s">
        <v>250</v>
      </c>
      <c r="B190" s="63" t="s">
        <v>125</v>
      </c>
      <c r="C190" s="32" t="s">
        <v>76</v>
      </c>
      <c r="D190" s="37">
        <v>1</v>
      </c>
      <c r="E190" s="34">
        <v>15000</v>
      </c>
      <c r="F190" s="35">
        <f t="shared" si="19"/>
        <v>15000</v>
      </c>
      <c r="H190" s="82"/>
    </row>
    <row r="191" spans="1:8" s="14" customFormat="1" x14ac:dyDescent="0.2">
      <c r="A191" s="56" t="s">
        <v>379</v>
      </c>
      <c r="B191" s="47" t="s">
        <v>380</v>
      </c>
      <c r="C191" s="32" t="s">
        <v>1</v>
      </c>
      <c r="D191" s="37">
        <v>100</v>
      </c>
      <c r="E191" s="34">
        <v>120</v>
      </c>
      <c r="F191" s="35">
        <f t="shared" si="19"/>
        <v>12000</v>
      </c>
      <c r="G191" s="5"/>
      <c r="H191" s="82"/>
    </row>
    <row r="192" spans="1:8" s="14" customFormat="1" ht="17.45" customHeight="1" x14ac:dyDescent="0.2">
      <c r="A192" s="56" t="s">
        <v>381</v>
      </c>
      <c r="B192" s="63" t="s">
        <v>454</v>
      </c>
      <c r="C192" s="32"/>
      <c r="D192" s="37"/>
      <c r="E192" s="34"/>
      <c r="F192" s="35"/>
      <c r="G192" s="5"/>
      <c r="H192" s="82"/>
    </row>
    <row r="193" spans="1:8" s="14" customFormat="1" ht="17.45" customHeight="1" x14ac:dyDescent="0.2">
      <c r="A193" s="56" t="s">
        <v>415</v>
      </c>
      <c r="B193" s="47" t="s">
        <v>417</v>
      </c>
      <c r="C193" s="32" t="s">
        <v>1</v>
      </c>
      <c r="D193" s="37">
        <v>40</v>
      </c>
      <c r="E193" s="34">
        <v>150</v>
      </c>
      <c r="F193" s="35">
        <f>+E193*D193</f>
        <v>6000</v>
      </c>
      <c r="G193" s="5"/>
      <c r="H193" s="82"/>
    </row>
    <row r="194" spans="1:8" s="14" customFormat="1" ht="17.45" customHeight="1" x14ac:dyDescent="0.2">
      <c r="A194" s="56" t="s">
        <v>416</v>
      </c>
      <c r="B194" s="47" t="s">
        <v>418</v>
      </c>
      <c r="C194" s="32" t="s">
        <v>1</v>
      </c>
      <c r="D194" s="37">
        <v>6</v>
      </c>
      <c r="E194" s="34">
        <v>140</v>
      </c>
      <c r="F194" s="35">
        <f>+E194*D194</f>
        <v>840</v>
      </c>
      <c r="G194" s="5"/>
      <c r="H194" s="82"/>
    </row>
    <row r="195" spans="1:8" ht="18" customHeight="1" x14ac:dyDescent="0.2">
      <c r="A195" s="241" t="s">
        <v>113</v>
      </c>
      <c r="B195" s="242"/>
      <c r="C195" s="242"/>
      <c r="D195" s="242"/>
      <c r="E195" s="243"/>
      <c r="F195" s="38">
        <f>SUM(F159:F194)</f>
        <v>180840</v>
      </c>
      <c r="H195" s="82"/>
    </row>
    <row r="196" spans="1:8" ht="18" customHeight="1" x14ac:dyDescent="0.2">
      <c r="A196" s="40"/>
      <c r="B196" s="62" t="s">
        <v>251</v>
      </c>
      <c r="C196" s="41"/>
      <c r="D196" s="65"/>
      <c r="E196" s="43"/>
      <c r="F196" s="35"/>
      <c r="H196" s="82"/>
    </row>
    <row r="197" spans="1:8" s="83" customFormat="1" ht="18" customHeight="1" x14ac:dyDescent="0.2">
      <c r="A197" s="66" t="s">
        <v>57</v>
      </c>
      <c r="B197" s="53" t="s">
        <v>358</v>
      </c>
      <c r="C197" s="67" t="s">
        <v>4</v>
      </c>
      <c r="D197" s="42">
        <v>1716</v>
      </c>
      <c r="E197" s="68">
        <v>20</v>
      </c>
      <c r="F197" s="35">
        <f t="shared" ref="F197:F201" si="20">+E197*D197</f>
        <v>34320</v>
      </c>
      <c r="G197" s="68"/>
      <c r="H197" s="82"/>
    </row>
    <row r="198" spans="1:8" s="83" customFormat="1" ht="18" customHeight="1" x14ac:dyDescent="0.2">
      <c r="A198" s="66" t="s">
        <v>58</v>
      </c>
      <c r="B198" s="54" t="s">
        <v>309</v>
      </c>
      <c r="C198" s="67" t="s">
        <v>4</v>
      </c>
      <c r="D198" s="42">
        <v>2760</v>
      </c>
      <c r="E198" s="68">
        <v>22</v>
      </c>
      <c r="F198" s="35">
        <f t="shared" si="20"/>
        <v>60720</v>
      </c>
      <c r="G198" s="68"/>
      <c r="H198" s="82"/>
    </row>
    <row r="199" spans="1:8" ht="18" customHeight="1" x14ac:dyDescent="0.2">
      <c r="A199" s="66" t="s">
        <v>59</v>
      </c>
      <c r="B199" s="45" t="s">
        <v>89</v>
      </c>
      <c r="C199" s="41" t="s">
        <v>4</v>
      </c>
      <c r="D199" s="42">
        <v>70</v>
      </c>
      <c r="E199" s="43">
        <v>22</v>
      </c>
      <c r="F199" s="35">
        <f t="shared" si="20"/>
        <v>1540</v>
      </c>
      <c r="G199" s="43"/>
      <c r="H199" s="82"/>
    </row>
    <row r="200" spans="1:8" ht="18" customHeight="1" x14ac:dyDescent="0.2">
      <c r="A200" s="66" t="s">
        <v>348</v>
      </c>
      <c r="B200" s="46" t="s">
        <v>87</v>
      </c>
      <c r="C200" s="41" t="s">
        <v>4</v>
      </c>
      <c r="D200" s="42">
        <v>290</v>
      </c>
      <c r="E200" s="43">
        <v>23</v>
      </c>
      <c r="F200" s="35">
        <f t="shared" si="20"/>
        <v>6670</v>
      </c>
      <c r="G200" s="43"/>
      <c r="H200" s="82"/>
    </row>
    <row r="201" spans="1:8" ht="18" customHeight="1" x14ac:dyDescent="0.2">
      <c r="A201" s="66" t="s">
        <v>60</v>
      </c>
      <c r="B201" s="39" t="s">
        <v>88</v>
      </c>
      <c r="C201" s="41" t="s">
        <v>4</v>
      </c>
      <c r="D201" s="42">
        <v>370</v>
      </c>
      <c r="E201" s="43">
        <v>23.5</v>
      </c>
      <c r="F201" s="35">
        <f t="shared" si="20"/>
        <v>8695</v>
      </c>
      <c r="G201" s="43"/>
      <c r="H201" s="82"/>
    </row>
    <row r="202" spans="1:8" ht="18" customHeight="1" x14ac:dyDescent="0.2">
      <c r="A202" s="241" t="s">
        <v>114</v>
      </c>
      <c r="B202" s="242"/>
      <c r="C202" s="242"/>
      <c r="D202" s="242"/>
      <c r="E202" s="243"/>
      <c r="F202" s="38">
        <f>SUM(F196:F201)</f>
        <v>111945</v>
      </c>
      <c r="H202" s="82"/>
    </row>
    <row r="203" spans="1:8" ht="18" customHeight="1" x14ac:dyDescent="0.2">
      <c r="A203" s="69"/>
      <c r="B203" s="70" t="s">
        <v>252</v>
      </c>
      <c r="C203" s="71"/>
      <c r="D203" s="72"/>
      <c r="E203" s="73"/>
      <c r="F203" s="35"/>
      <c r="H203" s="82"/>
    </row>
    <row r="204" spans="1:8" ht="18" customHeight="1" x14ac:dyDescent="0.2">
      <c r="A204" s="57" t="s">
        <v>29</v>
      </c>
      <c r="B204" s="45" t="s">
        <v>680</v>
      </c>
      <c r="C204" s="32" t="s">
        <v>4</v>
      </c>
      <c r="D204" s="42">
        <v>560</v>
      </c>
      <c r="E204" s="43">
        <v>145</v>
      </c>
      <c r="F204" s="35">
        <f t="shared" ref="F204" si="21">+E204*D204</f>
        <v>81200</v>
      </c>
      <c r="G204" s="43"/>
      <c r="H204" s="82"/>
    </row>
    <row r="205" spans="1:8" ht="18" customHeight="1" x14ac:dyDescent="0.2">
      <c r="A205" s="241" t="s">
        <v>115</v>
      </c>
      <c r="B205" s="242"/>
      <c r="C205" s="242"/>
      <c r="D205" s="242"/>
      <c r="E205" s="243"/>
      <c r="F205" s="38">
        <f>SUM(F203:F204)</f>
        <v>81200</v>
      </c>
      <c r="G205" s="43"/>
      <c r="H205" s="82"/>
    </row>
    <row r="206" spans="1:8" ht="18" customHeight="1" x14ac:dyDescent="0.2">
      <c r="A206" s="40"/>
      <c r="B206" s="62" t="s">
        <v>253</v>
      </c>
      <c r="C206" s="41"/>
      <c r="D206" s="43"/>
      <c r="E206" s="77"/>
      <c r="F206" s="35"/>
      <c r="G206" s="43"/>
      <c r="H206" s="82"/>
    </row>
    <row r="207" spans="1:8" s="5" customFormat="1" ht="17.100000000000001" customHeight="1" x14ac:dyDescent="0.2">
      <c r="A207" s="56" t="s">
        <v>61</v>
      </c>
      <c r="B207" s="46" t="s">
        <v>132</v>
      </c>
      <c r="C207" s="41" t="s">
        <v>5</v>
      </c>
      <c r="D207" s="42">
        <v>140</v>
      </c>
      <c r="E207" s="34">
        <v>25</v>
      </c>
      <c r="F207" s="35">
        <f t="shared" ref="F207:F209" si="22">+E207*D207</f>
        <v>3500</v>
      </c>
      <c r="G207" s="43"/>
      <c r="H207" s="82"/>
    </row>
    <row r="208" spans="1:8" ht="18" customHeight="1" x14ac:dyDescent="0.2">
      <c r="A208" s="56" t="s">
        <v>65</v>
      </c>
      <c r="B208" s="46" t="s">
        <v>131</v>
      </c>
      <c r="C208" s="32" t="s">
        <v>76</v>
      </c>
      <c r="D208" s="42">
        <v>60</v>
      </c>
      <c r="E208" s="43">
        <v>30</v>
      </c>
      <c r="F208" s="35">
        <f t="shared" si="22"/>
        <v>1800</v>
      </c>
      <c r="G208" s="43"/>
      <c r="H208" s="82"/>
    </row>
    <row r="209" spans="1:11" ht="18" customHeight="1" x14ac:dyDescent="0.2">
      <c r="A209" s="56" t="s">
        <v>66</v>
      </c>
      <c r="B209" s="46" t="s">
        <v>130</v>
      </c>
      <c r="C209" s="32" t="s">
        <v>76</v>
      </c>
      <c r="D209" s="42">
        <v>10</v>
      </c>
      <c r="E209" s="43">
        <v>800</v>
      </c>
      <c r="F209" s="35">
        <f t="shared" si="22"/>
        <v>8000</v>
      </c>
      <c r="G209" s="43"/>
      <c r="H209" s="82"/>
    </row>
    <row r="210" spans="1:11" ht="18" customHeight="1" x14ac:dyDescent="0.2">
      <c r="A210" s="241" t="s">
        <v>116</v>
      </c>
      <c r="B210" s="242"/>
      <c r="C210" s="242"/>
      <c r="D210" s="242"/>
      <c r="E210" s="243"/>
      <c r="F210" s="38">
        <f>SUM(F206:F209)</f>
        <v>13300</v>
      </c>
      <c r="H210" s="82"/>
    </row>
    <row r="211" spans="1:11" ht="18" customHeight="1" thickBot="1" x14ac:dyDescent="0.25">
      <c r="A211" s="2"/>
      <c r="B211" s="3"/>
      <c r="C211" s="3"/>
      <c r="E211" s="12"/>
      <c r="F211" s="78"/>
    </row>
    <row r="212" spans="1:11" ht="18" customHeight="1" x14ac:dyDescent="0.2">
      <c r="A212" s="280" t="s">
        <v>675</v>
      </c>
      <c r="B212" s="281"/>
      <c r="C212" s="281"/>
      <c r="D212" s="282"/>
      <c r="E212" s="283">
        <f>F78</f>
        <v>1225070</v>
      </c>
      <c r="F212" s="284"/>
      <c r="H212" s="82"/>
    </row>
    <row r="213" spans="1:11" ht="18" customHeight="1" x14ac:dyDescent="0.2">
      <c r="A213" s="285" t="s">
        <v>189</v>
      </c>
      <c r="B213" s="286"/>
      <c r="C213" s="286"/>
      <c r="D213" s="287"/>
      <c r="E213" s="278">
        <f>F86</f>
        <v>119050</v>
      </c>
      <c r="F213" s="279">
        <f>+F140</f>
        <v>1700</v>
      </c>
      <c r="H213" s="15"/>
    </row>
    <row r="214" spans="1:11" ht="18" customHeight="1" x14ac:dyDescent="0.2">
      <c r="A214" s="285" t="s">
        <v>676</v>
      </c>
      <c r="B214" s="286"/>
      <c r="C214" s="286"/>
      <c r="D214" s="287"/>
      <c r="E214" s="278">
        <f>F102</f>
        <v>369360</v>
      </c>
      <c r="F214" s="279">
        <f>+F147</f>
        <v>2000</v>
      </c>
    </row>
    <row r="215" spans="1:11" ht="18" customHeight="1" x14ac:dyDescent="0.2">
      <c r="A215" s="285" t="s">
        <v>677</v>
      </c>
      <c r="B215" s="286"/>
      <c r="C215" s="286"/>
      <c r="D215" s="287"/>
      <c r="E215" s="278">
        <f>F126</f>
        <v>233280</v>
      </c>
      <c r="F215" s="279">
        <f>+F170</f>
        <v>6000</v>
      </c>
    </row>
    <row r="216" spans="1:11" ht="18" customHeight="1" x14ac:dyDescent="0.2">
      <c r="A216" s="285" t="s">
        <v>218</v>
      </c>
      <c r="B216" s="286"/>
      <c r="C216" s="286"/>
      <c r="D216" s="287"/>
      <c r="E216" s="278">
        <f>F158</f>
        <v>138570</v>
      </c>
      <c r="F216" s="279"/>
    </row>
    <row r="217" spans="1:11" s="1" customFormat="1" ht="18" customHeight="1" x14ac:dyDescent="0.3">
      <c r="A217" s="285" t="s">
        <v>678</v>
      </c>
      <c r="B217" s="286"/>
      <c r="C217" s="286"/>
      <c r="D217" s="287"/>
      <c r="E217" s="278">
        <f>F195</f>
        <v>180840</v>
      </c>
      <c r="F217" s="279" t="e">
        <f>+#REF!</f>
        <v>#REF!</v>
      </c>
      <c r="G217" s="9"/>
      <c r="H217" s="227"/>
    </row>
    <row r="218" spans="1:11" ht="18" customHeight="1" x14ac:dyDescent="0.2">
      <c r="A218" s="285" t="s">
        <v>679</v>
      </c>
      <c r="B218" s="286"/>
      <c r="C218" s="286"/>
      <c r="D218" s="287"/>
      <c r="E218" s="278">
        <f>F202</f>
        <v>111945</v>
      </c>
      <c r="F218" s="279">
        <f>+F200</f>
        <v>6670</v>
      </c>
    </row>
    <row r="219" spans="1:11" ht="18" customHeight="1" x14ac:dyDescent="0.2">
      <c r="A219" s="285" t="s">
        <v>252</v>
      </c>
      <c r="B219" s="286"/>
      <c r="C219" s="286"/>
      <c r="D219" s="287"/>
      <c r="E219" s="278">
        <f>F205</f>
        <v>81200</v>
      </c>
      <c r="F219" s="279"/>
    </row>
    <row r="220" spans="1:11" ht="18" customHeight="1" thickBot="1" x14ac:dyDescent="0.25">
      <c r="A220" s="288" t="s">
        <v>253</v>
      </c>
      <c r="B220" s="289"/>
      <c r="C220" s="289"/>
      <c r="D220" s="290"/>
      <c r="E220" s="297">
        <f>F210</f>
        <v>13300</v>
      </c>
      <c r="F220" s="298">
        <f>+F210</f>
        <v>13300</v>
      </c>
    </row>
    <row r="221" spans="1:11" ht="18" customHeight="1" thickBot="1" x14ac:dyDescent="0.25">
      <c r="A221" s="234"/>
      <c r="B221" s="235"/>
      <c r="C221" s="235"/>
      <c r="D221" s="235"/>
      <c r="E221" s="236"/>
      <c r="F221" s="236"/>
      <c r="H221" s="15"/>
      <c r="J221" s="240"/>
    </row>
    <row r="222" spans="1:11" ht="18" customHeight="1" x14ac:dyDescent="0.2">
      <c r="A222" s="291" t="s">
        <v>670</v>
      </c>
      <c r="B222" s="292"/>
      <c r="C222" s="292"/>
      <c r="D222" s="293"/>
      <c r="E222" s="283">
        <f>E212+E213+E214+E215+E216+E217+E218+E219+E220</f>
        <v>2472615</v>
      </c>
      <c r="F222" s="284" t="e">
        <f>SUM(F212:F220)</f>
        <v>#REF!</v>
      </c>
      <c r="H222" s="15"/>
      <c r="I222" s="239"/>
      <c r="K222" s="15"/>
    </row>
    <row r="223" spans="1:11" ht="18" customHeight="1" x14ac:dyDescent="0.2">
      <c r="A223" s="294" t="s">
        <v>427</v>
      </c>
      <c r="B223" s="295" t="s">
        <v>427</v>
      </c>
      <c r="C223" s="295" t="s">
        <v>671</v>
      </c>
      <c r="D223" s="296"/>
      <c r="E223" s="278"/>
      <c r="F223" s="279"/>
      <c r="H223" s="15"/>
      <c r="K223" s="15"/>
    </row>
    <row r="224" spans="1:11" ht="18" customHeight="1" x14ac:dyDescent="0.2">
      <c r="A224" s="294" t="s">
        <v>428</v>
      </c>
      <c r="B224" s="295" t="s">
        <v>428</v>
      </c>
      <c r="C224" s="295"/>
      <c r="D224" s="296"/>
      <c r="E224" s="278"/>
      <c r="F224" s="279"/>
      <c r="H224" s="15"/>
    </row>
    <row r="225" spans="1:6" ht="18" customHeight="1" x14ac:dyDescent="0.2">
      <c r="A225" s="294" t="s">
        <v>672</v>
      </c>
      <c r="B225" s="295" t="s">
        <v>672</v>
      </c>
      <c r="C225" s="295"/>
      <c r="D225" s="296"/>
      <c r="E225" s="278"/>
      <c r="F225" s="279"/>
    </row>
    <row r="226" spans="1:6" ht="18" customHeight="1" x14ac:dyDescent="0.2">
      <c r="A226" s="294" t="s">
        <v>673</v>
      </c>
      <c r="B226" s="295"/>
      <c r="C226" s="295"/>
      <c r="D226" s="296"/>
      <c r="E226" s="278"/>
      <c r="F226" s="279"/>
    </row>
    <row r="227" spans="1:6" ht="18" customHeight="1" thickBot="1" x14ac:dyDescent="0.25">
      <c r="A227" s="299" t="s">
        <v>674</v>
      </c>
      <c r="B227" s="300"/>
      <c r="C227" s="300"/>
      <c r="D227" s="301"/>
      <c r="E227" s="297"/>
      <c r="F227" s="298"/>
    </row>
    <row r="228" spans="1:6" ht="18" customHeight="1" x14ac:dyDescent="0.2"/>
  </sheetData>
  <mergeCells count="35">
    <mergeCell ref="E227:F227"/>
    <mergeCell ref="A225:D225"/>
    <mergeCell ref="A226:D226"/>
    <mergeCell ref="A227:D227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2:F222"/>
    <mergeCell ref="E223:F223"/>
    <mergeCell ref="E224:F224"/>
    <mergeCell ref="E225:F225"/>
    <mergeCell ref="E226:F226"/>
    <mergeCell ref="A212:D212"/>
    <mergeCell ref="E212:F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2:D222"/>
    <mergeCell ref="A223:D223"/>
    <mergeCell ref="A224:D224"/>
    <mergeCell ref="A8:F8"/>
    <mergeCell ref="A3:F3"/>
    <mergeCell ref="A7:F7"/>
    <mergeCell ref="A6:F6"/>
    <mergeCell ref="A9:F9"/>
  </mergeCells>
  <phoneticPr fontId="42" type="noConversion"/>
  <printOptions horizontalCentered="1"/>
  <pageMargins left="0.51181102362204722" right="0.51181102362204722" top="0.55118110236220474" bottom="0.74803149606299213" header="0.31496062992125984" footer="0.31496062992125984"/>
  <pageSetup paperSize="9" scale="95" orientation="portrait" r:id="rId1"/>
  <rowBreaks count="1" manualBreakCount="1">
    <brk id="227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ann</vt:lpstr>
      <vt:lpstr>al firdaous</vt:lpstr>
      <vt:lpstr>OUED SOUS</vt:lpstr>
      <vt:lpstr>BET FIRDAOUS</vt:lpstr>
      <vt:lpstr>BET ANOUAR SOUS</vt:lpstr>
      <vt:lpstr>ESTIMATION</vt:lpstr>
      <vt:lpstr>ESTIMATION!Impression_des_titres</vt:lpstr>
      <vt:lpstr>'al firdaous'!Zone_d_impression</vt:lpstr>
      <vt:lpstr>ann!Zone_d_impression</vt:lpstr>
      <vt:lpstr>ESTIMATION!Zone_d_impression</vt:lpstr>
      <vt:lpstr>'OUED SOUS'!Zone_d_impression</vt:lpstr>
    </vt:vector>
  </TitlesOfParts>
  <Company>Cabinet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Nawal</dc:creator>
  <cp:lastModifiedBy>bureau</cp:lastModifiedBy>
  <cp:lastPrinted>2026-07-01T10:47:33Z</cp:lastPrinted>
  <dcterms:created xsi:type="dcterms:W3CDTF">2005-10-19T01:43:22Z</dcterms:created>
  <dcterms:modified xsi:type="dcterms:W3CDTF">2026-07-01T10:47:47Z</dcterms:modified>
</cp:coreProperties>
</file>